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ropbox\Oscar Parra\2014-1v\Entrega proyecto de investigación\"/>
    </mc:Choice>
  </mc:AlternateContent>
  <bookViews>
    <workbookView xWindow="12960" yWindow="0" windowWidth="26715" windowHeight="12720" tabRatio="802" firstSheet="1" activeTab="1"/>
  </bookViews>
  <sheets>
    <sheet name="A" sheetId="9" state="hidden" r:id="rId1"/>
    <sheet name="Navegador" sheetId="5" r:id="rId2"/>
    <sheet name="Estaciones" sheetId="6" state="hidden" r:id="rId3"/>
    <sheet name="Servidores" sheetId="8" state="hidden" r:id="rId4"/>
    <sheet name="Parámetros Servidores" sheetId="19" state="hidden" r:id="rId5"/>
    <sheet name="Matriz de proximidad" sheetId="20" state="hidden" r:id="rId6"/>
    <sheet name="Flujo de producto" sheetId="21" state="hidden" r:id="rId7"/>
    <sheet name="Tasa de proceso &amp; eficiencia" sheetId="22" state="hidden" r:id="rId8"/>
    <sheet name="Dimensiones Layout" sheetId="23" state="hidden" r:id="rId9"/>
    <sheet name="Throughput Total" sheetId="24" state="hidden" r:id="rId10"/>
    <sheet name="% ocupación &amp; balance de línea" sheetId="25" state="hidden" r:id="rId11"/>
    <sheet name="Sup. gravitación &amp; evolución" sheetId="26" state="hidden" r:id="rId12"/>
    <sheet name="Matriz de tráfico" sheetId="27" state="hidden" r:id="rId13"/>
    <sheet name="Matriz de distancias" sheetId="30" state="hidden" r:id="rId14"/>
    <sheet name="Configuración AG" sheetId="29" state="hidden" r:id="rId15"/>
    <sheet name="Layout solución (individuo AG)" sheetId="28" state="hidden" r:id="rId16"/>
    <sheet name="Población" sheetId="32" state="hidden" r:id="rId17"/>
    <sheet name="Histórico resultados" sheetId="33" state="hidden" r:id="rId18"/>
    <sheet name="Cruce" sheetId="34" state="hidden" r:id="rId19"/>
    <sheet name="Población (New)" sheetId="35" state="hidden" r:id="rId20"/>
    <sheet name="Templates" sheetId="1" state="hidden" r:id="rId21"/>
    <sheet name="Fuentes imágenes" sheetId="2" state="hidden" r:id="rId22"/>
    <sheet name="Listados" sheetId="7" state="hidden" r:id="rId23"/>
  </sheets>
  <definedNames>
    <definedName name="Accesibilidad">Listados!$G$2:$G$6</definedName>
    <definedName name="Activacion">Listados!$A$2:$A$3</definedName>
    <definedName name="AlgoritmosCruce">Listados!$M$2:$M$4</definedName>
    <definedName name="AnchoBahias">'Layout solución (individuo AG)'!$B$13:$D$19</definedName>
    <definedName name="Iconos">Listados!$B$2:$B$16</definedName>
    <definedName name="RelacionProximidad" localSheetId="6">'Flujo de producto'!$G$3:$G$8</definedName>
    <definedName name="RelacionProximidad" localSheetId="13">'Matriz de distancias'!$G$3:$G$8</definedName>
    <definedName name="RelacionProximidad" localSheetId="12">'Matriz de tráfico'!$G$3:$G$8</definedName>
    <definedName name="RelacionProximidad">'Matriz de proximidad'!$G$3:$G$8</definedName>
    <definedName name="TablaDatosEstaciones">'Sup. gravitación &amp; evolución'!$C$3:$L$22</definedName>
    <definedName name="TablaEstaciones">Listados!$J$2:$K$21</definedName>
    <definedName name="TablaEstacionesB">Listados!$K$2:$L$21</definedName>
    <definedName name="TablaIconos" localSheetId="18">Cruce!$C$3:$E$22</definedName>
    <definedName name="TablaIconos" localSheetId="17">'Histórico resultados'!$C$3:$E$22</definedName>
    <definedName name="TablaIconos" localSheetId="16">Población!$C$3:$E$22</definedName>
    <definedName name="TablaIconos" localSheetId="19">'Población (New)'!$C$3:$E$22</definedName>
    <definedName name="TablaIconos">Servidores!$C$3:$E$22</definedName>
    <definedName name="TipoIndustria">Listados!$H$2:$H$10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23" l="1"/>
  <c r="E5" i="34" l="1"/>
  <c r="E4" i="34"/>
  <c r="D5" i="34"/>
  <c r="D4" i="34"/>
  <c r="L21" i="7" l="1"/>
  <c r="K21" i="7"/>
  <c r="J21" i="7"/>
  <c r="L20" i="7"/>
  <c r="K20" i="7"/>
  <c r="J20" i="7"/>
  <c r="L19" i="7"/>
  <c r="K19" i="7"/>
  <c r="J19" i="7"/>
  <c r="L18" i="7"/>
  <c r="K18" i="7"/>
  <c r="J18" i="7"/>
  <c r="L17" i="7"/>
  <c r="K17" i="7"/>
  <c r="J17" i="7"/>
  <c r="L16" i="7"/>
  <c r="K16" i="7"/>
  <c r="J16" i="7"/>
  <c r="B16" i="7"/>
  <c r="L15" i="7"/>
  <c r="K15" i="7"/>
  <c r="J15" i="7"/>
  <c r="B15" i="7"/>
  <c r="L14" i="7"/>
  <c r="K14" i="7"/>
  <c r="J14" i="7"/>
  <c r="B14" i="7"/>
  <c r="L13" i="7"/>
  <c r="K13" i="7"/>
  <c r="J13" i="7"/>
  <c r="B13" i="7"/>
  <c r="L12" i="7"/>
  <c r="K12" i="7"/>
  <c r="J12" i="7"/>
  <c r="B12" i="7"/>
  <c r="L11" i="7"/>
  <c r="K11" i="7"/>
  <c r="J11" i="7"/>
  <c r="B11" i="7"/>
  <c r="L10" i="7"/>
  <c r="K10" i="7"/>
  <c r="J10" i="7"/>
  <c r="I10" i="7"/>
  <c r="B10" i="7"/>
  <c r="L9" i="7"/>
  <c r="K9" i="7"/>
  <c r="J9" i="7"/>
  <c r="I9" i="7"/>
  <c r="B9" i="7"/>
  <c r="L8" i="7"/>
  <c r="K8" i="7"/>
  <c r="J8" i="7"/>
  <c r="I8" i="7"/>
  <c r="B8" i="7"/>
  <c r="L7" i="7"/>
  <c r="K7" i="7"/>
  <c r="J7" i="7"/>
  <c r="I7" i="7"/>
  <c r="B7" i="7"/>
  <c r="L6" i="7"/>
  <c r="K6" i="7"/>
  <c r="J6" i="7"/>
  <c r="I6" i="7"/>
  <c r="B6" i="7"/>
  <c r="L5" i="7"/>
  <c r="K5" i="7"/>
  <c r="J5" i="7"/>
  <c r="I5" i="7"/>
  <c r="B5" i="7"/>
  <c r="L4" i="7"/>
  <c r="K4" i="7"/>
  <c r="J4" i="7"/>
  <c r="I4" i="7"/>
  <c r="B4" i="7"/>
  <c r="L3" i="7"/>
  <c r="K3" i="7"/>
  <c r="J3" i="7"/>
  <c r="I3" i="7"/>
  <c r="B3" i="7"/>
  <c r="L2" i="7"/>
  <c r="K2" i="7"/>
  <c r="J2" i="7"/>
  <c r="I2" i="7"/>
  <c r="B2" i="7"/>
  <c r="V2" i="35"/>
  <c r="U2" i="35"/>
  <c r="T2" i="35"/>
  <c r="S2" i="35"/>
  <c r="R2" i="35"/>
  <c r="Q2" i="35"/>
  <c r="P2" i="35"/>
  <c r="O2" i="35"/>
  <c r="N2" i="35"/>
  <c r="M2" i="35"/>
  <c r="L2" i="35"/>
  <c r="K2" i="35"/>
  <c r="J2" i="35"/>
  <c r="I2" i="35"/>
  <c r="H2" i="35"/>
  <c r="G2" i="35"/>
  <c r="F2" i="35"/>
  <c r="E2" i="35"/>
  <c r="D2" i="35"/>
  <c r="C2" i="35"/>
  <c r="I1" i="35"/>
  <c r="G1" i="35"/>
  <c r="Y8" i="34"/>
  <c r="Y11" i="34" s="1"/>
  <c r="Y17" i="34" s="1"/>
  <c r="X8" i="34"/>
  <c r="X11" i="34" s="1"/>
  <c r="X17" i="34" s="1"/>
  <c r="W8" i="34"/>
  <c r="W11" i="34" s="1"/>
  <c r="W17" i="34" s="1"/>
  <c r="V8" i="34"/>
  <c r="V11" i="34" s="1"/>
  <c r="V17" i="34" s="1"/>
  <c r="U8" i="34"/>
  <c r="U11" i="34" s="1"/>
  <c r="U17" i="34" s="1"/>
  <c r="T8" i="34"/>
  <c r="T11" i="34" s="1"/>
  <c r="T17" i="34" s="1"/>
  <c r="S8" i="34"/>
  <c r="S11" i="34" s="1"/>
  <c r="S17" i="34" s="1"/>
  <c r="R8" i="34"/>
  <c r="R11" i="34" s="1"/>
  <c r="R17" i="34" s="1"/>
  <c r="Q8" i="34"/>
  <c r="Q11" i="34" s="1"/>
  <c r="Q17" i="34" s="1"/>
  <c r="P8" i="34"/>
  <c r="P11" i="34" s="1"/>
  <c r="P17" i="34" s="1"/>
  <c r="O8" i="34"/>
  <c r="O11" i="34" s="1"/>
  <c r="O17" i="34" s="1"/>
  <c r="N8" i="34"/>
  <c r="N11" i="34" s="1"/>
  <c r="N17" i="34" s="1"/>
  <c r="M8" i="34"/>
  <c r="M11" i="34" s="1"/>
  <c r="M17" i="34" s="1"/>
  <c r="L8" i="34"/>
  <c r="L11" i="34" s="1"/>
  <c r="L17" i="34" s="1"/>
  <c r="K8" i="34"/>
  <c r="K11" i="34" s="1"/>
  <c r="K17" i="34" s="1"/>
  <c r="J8" i="34"/>
  <c r="J11" i="34" s="1"/>
  <c r="J17" i="34" s="1"/>
  <c r="I8" i="34"/>
  <c r="I11" i="34" s="1"/>
  <c r="I17" i="34" s="1"/>
  <c r="H8" i="34"/>
  <c r="H11" i="34" s="1"/>
  <c r="H17" i="34" s="1"/>
  <c r="G8" i="34"/>
  <c r="G11" i="34" s="1"/>
  <c r="G17" i="34" s="1"/>
  <c r="F8" i="34"/>
  <c r="F11" i="34" s="1"/>
  <c r="F17" i="34" s="1"/>
  <c r="Y7" i="34"/>
  <c r="Y10" i="34" s="1"/>
  <c r="Y16" i="34" s="1"/>
  <c r="X7" i="34"/>
  <c r="X10" i="34" s="1"/>
  <c r="X16" i="34" s="1"/>
  <c r="W7" i="34"/>
  <c r="W10" i="34" s="1"/>
  <c r="W16" i="34" s="1"/>
  <c r="V7" i="34"/>
  <c r="V10" i="34" s="1"/>
  <c r="V16" i="34" s="1"/>
  <c r="U7" i="34"/>
  <c r="U10" i="34" s="1"/>
  <c r="U16" i="34" s="1"/>
  <c r="T7" i="34"/>
  <c r="T10" i="34" s="1"/>
  <c r="T16" i="34" s="1"/>
  <c r="S7" i="34"/>
  <c r="S10" i="34" s="1"/>
  <c r="S16" i="34" s="1"/>
  <c r="R7" i="34"/>
  <c r="R10" i="34" s="1"/>
  <c r="R16" i="34" s="1"/>
  <c r="Q7" i="34"/>
  <c r="Q10" i="34" s="1"/>
  <c r="Q16" i="34" s="1"/>
  <c r="P7" i="34"/>
  <c r="P10" i="34" s="1"/>
  <c r="P16" i="34" s="1"/>
  <c r="O7" i="34"/>
  <c r="O10" i="34" s="1"/>
  <c r="O16" i="34" s="1"/>
  <c r="N7" i="34"/>
  <c r="N10" i="34" s="1"/>
  <c r="N16" i="34" s="1"/>
  <c r="M7" i="34"/>
  <c r="M10" i="34" s="1"/>
  <c r="M16" i="34" s="1"/>
  <c r="L7" i="34"/>
  <c r="L10" i="34" s="1"/>
  <c r="L16" i="34" s="1"/>
  <c r="K7" i="34"/>
  <c r="K10" i="34" s="1"/>
  <c r="K16" i="34" s="1"/>
  <c r="J7" i="34"/>
  <c r="J10" i="34" s="1"/>
  <c r="J16" i="34" s="1"/>
  <c r="I7" i="34"/>
  <c r="I10" i="34" s="1"/>
  <c r="I16" i="34" s="1"/>
  <c r="H7" i="34"/>
  <c r="H10" i="34" s="1"/>
  <c r="H16" i="34" s="1"/>
  <c r="G7" i="34"/>
  <c r="G10" i="34" s="1"/>
  <c r="G16" i="34" s="1"/>
  <c r="F7" i="34"/>
  <c r="F10" i="34" s="1"/>
  <c r="F16" i="34" s="1"/>
  <c r="O1" i="34"/>
  <c r="M1" i="34"/>
  <c r="K1" i="34"/>
  <c r="I1" i="34"/>
  <c r="G1" i="34"/>
  <c r="X2" i="33"/>
  <c r="W2" i="33"/>
  <c r="V2" i="33"/>
  <c r="U2" i="33"/>
  <c r="T2" i="33"/>
  <c r="S2" i="33"/>
  <c r="R2" i="33"/>
  <c r="Q2" i="33"/>
  <c r="P2" i="33"/>
  <c r="O2" i="33"/>
  <c r="N2" i="33"/>
  <c r="M2" i="33"/>
  <c r="L2" i="33"/>
  <c r="K2" i="33"/>
  <c r="J2" i="33"/>
  <c r="I2" i="33"/>
  <c r="H2" i="33"/>
  <c r="G2" i="33"/>
  <c r="F2" i="33"/>
  <c r="E2" i="33"/>
  <c r="G1" i="33"/>
  <c r="V2" i="32"/>
  <c r="U2" i="32"/>
  <c r="T2" i="32"/>
  <c r="S2" i="32"/>
  <c r="R2" i="32"/>
  <c r="Q2" i="32"/>
  <c r="P2" i="32"/>
  <c r="O2" i="32"/>
  <c r="N2" i="32"/>
  <c r="M2" i="32"/>
  <c r="L2" i="32"/>
  <c r="K2" i="32"/>
  <c r="J2" i="32"/>
  <c r="I2" i="32"/>
  <c r="H2" i="32"/>
  <c r="G2" i="32"/>
  <c r="F2" i="32"/>
  <c r="E2" i="32"/>
  <c r="D2" i="32"/>
  <c r="C2" i="32"/>
  <c r="M1" i="32"/>
  <c r="K1" i="32"/>
  <c r="G1" i="32"/>
  <c r="F20" i="28"/>
  <c r="F19" i="28"/>
  <c r="Y5" i="28"/>
  <c r="Y6" i="28" s="1"/>
  <c r="X5" i="28"/>
  <c r="X6" i="28" s="1"/>
  <c r="W5" i="28"/>
  <c r="W6" i="28" s="1"/>
  <c r="V5" i="28"/>
  <c r="V6" i="28" s="1"/>
  <c r="U5" i="28"/>
  <c r="U6" i="28" s="1"/>
  <c r="T5" i="28"/>
  <c r="T6" i="28" s="1"/>
  <c r="S5" i="28"/>
  <c r="S6" i="28" s="1"/>
  <c r="R5" i="28"/>
  <c r="R6" i="28" s="1"/>
  <c r="Q5" i="28"/>
  <c r="Q6" i="28" s="1"/>
  <c r="P5" i="28"/>
  <c r="P6" i="28" s="1"/>
  <c r="O5" i="28"/>
  <c r="O6" i="28" s="1"/>
  <c r="N5" i="28"/>
  <c r="N6" i="28" s="1"/>
  <c r="M5" i="28"/>
  <c r="L5" i="28"/>
  <c r="K5" i="28"/>
  <c r="J5" i="28"/>
  <c r="I5" i="28"/>
  <c r="H5" i="28"/>
  <c r="G5" i="28"/>
  <c r="F5" i="28"/>
  <c r="J1" i="28"/>
  <c r="C13" i="29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X12" i="30"/>
  <c r="W12" i="30"/>
  <c r="V12" i="30"/>
  <c r="U12" i="30"/>
  <c r="T12" i="30"/>
  <c r="S12" i="30"/>
  <c r="R12" i="30"/>
  <c r="Q12" i="30"/>
  <c r="P12" i="30"/>
  <c r="O12" i="30"/>
  <c r="N12" i="30"/>
  <c r="M12" i="30"/>
  <c r="L12" i="30"/>
  <c r="K12" i="30"/>
  <c r="J12" i="30"/>
  <c r="I12" i="30"/>
  <c r="H12" i="30"/>
  <c r="G12" i="30"/>
  <c r="F12" i="30"/>
  <c r="E12" i="30"/>
  <c r="V30" i="27"/>
  <c r="U30" i="27"/>
  <c r="T30" i="27"/>
  <c r="S30" i="27"/>
  <c r="R30" i="27"/>
  <c r="Q30" i="27"/>
  <c r="P30" i="27"/>
  <c r="O30" i="27"/>
  <c r="N30" i="27"/>
  <c r="M30" i="27"/>
  <c r="L30" i="27"/>
  <c r="K30" i="27"/>
  <c r="J30" i="27"/>
  <c r="I30" i="27"/>
  <c r="H30" i="27"/>
  <c r="G30" i="27"/>
  <c r="F30" i="27"/>
  <c r="E30" i="27"/>
  <c r="D30" i="27"/>
  <c r="C30" i="27"/>
  <c r="B30" i="27"/>
  <c r="V29" i="27"/>
  <c r="U29" i="27"/>
  <c r="T29" i="27"/>
  <c r="S29" i="27"/>
  <c r="R29" i="27"/>
  <c r="Q29" i="27"/>
  <c r="P29" i="27"/>
  <c r="O29" i="27"/>
  <c r="N29" i="27"/>
  <c r="M29" i="27"/>
  <c r="L29" i="27"/>
  <c r="K29" i="27"/>
  <c r="J29" i="27"/>
  <c r="I29" i="27"/>
  <c r="H29" i="27"/>
  <c r="G29" i="27"/>
  <c r="F29" i="27"/>
  <c r="E29" i="27"/>
  <c r="D29" i="27"/>
  <c r="C29" i="27"/>
  <c r="B29" i="27"/>
  <c r="V28" i="27"/>
  <c r="U28" i="27"/>
  <c r="T28" i="27"/>
  <c r="S28" i="27"/>
  <c r="R28" i="27"/>
  <c r="Q28" i="27"/>
  <c r="P28" i="27"/>
  <c r="O28" i="27"/>
  <c r="N28" i="27"/>
  <c r="M28" i="27"/>
  <c r="L28" i="27"/>
  <c r="K28" i="27"/>
  <c r="J28" i="27"/>
  <c r="I28" i="27"/>
  <c r="H28" i="27"/>
  <c r="G28" i="27"/>
  <c r="F28" i="27"/>
  <c r="E28" i="27"/>
  <c r="D28" i="27"/>
  <c r="C28" i="27"/>
  <c r="B28" i="27"/>
  <c r="V27" i="27"/>
  <c r="U27" i="27"/>
  <c r="T27" i="27"/>
  <c r="S27" i="27"/>
  <c r="R27" i="27"/>
  <c r="Q27" i="27"/>
  <c r="P27" i="27"/>
  <c r="O27" i="27"/>
  <c r="N27" i="27"/>
  <c r="M27" i="27"/>
  <c r="L27" i="27"/>
  <c r="K27" i="27"/>
  <c r="J27" i="27"/>
  <c r="I27" i="27"/>
  <c r="H27" i="27"/>
  <c r="G27" i="27"/>
  <c r="F27" i="27"/>
  <c r="E27" i="27"/>
  <c r="D27" i="27"/>
  <c r="C27" i="27"/>
  <c r="B27" i="27"/>
  <c r="V26" i="27"/>
  <c r="U26" i="27"/>
  <c r="T26" i="27"/>
  <c r="S26" i="27"/>
  <c r="R26" i="27"/>
  <c r="Q26" i="27"/>
  <c r="P26" i="27"/>
  <c r="O26" i="27"/>
  <c r="N26" i="27"/>
  <c r="M26" i="27"/>
  <c r="L26" i="27"/>
  <c r="K26" i="27"/>
  <c r="J26" i="27"/>
  <c r="I26" i="27"/>
  <c r="H26" i="27"/>
  <c r="G26" i="27"/>
  <c r="F26" i="27"/>
  <c r="E26" i="27"/>
  <c r="D26" i="27"/>
  <c r="C26" i="27"/>
  <c r="B26" i="27"/>
  <c r="V25" i="27"/>
  <c r="U25" i="27"/>
  <c r="T25" i="27"/>
  <c r="S25" i="27"/>
  <c r="R25" i="27"/>
  <c r="Q25" i="27"/>
  <c r="P25" i="27"/>
  <c r="O25" i="27"/>
  <c r="N25" i="27"/>
  <c r="M25" i="27"/>
  <c r="L25" i="27"/>
  <c r="K25" i="27"/>
  <c r="J25" i="27"/>
  <c r="I25" i="27"/>
  <c r="H25" i="27"/>
  <c r="G25" i="27"/>
  <c r="F25" i="27"/>
  <c r="E25" i="27"/>
  <c r="D25" i="27"/>
  <c r="C25" i="27"/>
  <c r="B25" i="27"/>
  <c r="V24" i="27"/>
  <c r="U24" i="27"/>
  <c r="T24" i="27"/>
  <c r="S24" i="27"/>
  <c r="R24" i="27"/>
  <c r="Q24" i="27"/>
  <c r="P24" i="27"/>
  <c r="O24" i="27"/>
  <c r="N24" i="27"/>
  <c r="M24" i="27"/>
  <c r="L24" i="27"/>
  <c r="K24" i="27"/>
  <c r="J24" i="27"/>
  <c r="I24" i="27"/>
  <c r="H24" i="27"/>
  <c r="G24" i="27"/>
  <c r="F24" i="27"/>
  <c r="E24" i="27"/>
  <c r="D24" i="27"/>
  <c r="C24" i="27"/>
  <c r="B24" i="27"/>
  <c r="V23" i="27"/>
  <c r="U23" i="27"/>
  <c r="T23" i="27"/>
  <c r="S23" i="27"/>
  <c r="R23" i="27"/>
  <c r="Q23" i="27"/>
  <c r="P23" i="27"/>
  <c r="O23" i="27"/>
  <c r="N23" i="27"/>
  <c r="M23" i="27"/>
  <c r="L23" i="27"/>
  <c r="K23" i="27"/>
  <c r="J23" i="27"/>
  <c r="I23" i="27"/>
  <c r="H23" i="27"/>
  <c r="G23" i="27"/>
  <c r="F23" i="27"/>
  <c r="E23" i="27"/>
  <c r="D23" i="27"/>
  <c r="C23" i="27"/>
  <c r="B23" i="27"/>
  <c r="V22" i="27"/>
  <c r="U22" i="27"/>
  <c r="T22" i="27"/>
  <c r="S22" i="27"/>
  <c r="R22" i="27"/>
  <c r="Q22" i="27"/>
  <c r="P22" i="27"/>
  <c r="O22" i="27"/>
  <c r="N22" i="27"/>
  <c r="M22" i="27"/>
  <c r="L22" i="27"/>
  <c r="K22" i="27"/>
  <c r="J22" i="27"/>
  <c r="I22" i="27"/>
  <c r="H22" i="27"/>
  <c r="G22" i="27"/>
  <c r="F22" i="27"/>
  <c r="E22" i="27"/>
  <c r="D22" i="27"/>
  <c r="C22" i="27"/>
  <c r="B22" i="27"/>
  <c r="V21" i="27"/>
  <c r="U21" i="27"/>
  <c r="T21" i="27"/>
  <c r="S21" i="27"/>
  <c r="R21" i="27"/>
  <c r="Q21" i="27"/>
  <c r="P21" i="27"/>
  <c r="O21" i="27"/>
  <c r="N21" i="27"/>
  <c r="M21" i="27"/>
  <c r="L21" i="27"/>
  <c r="K21" i="27"/>
  <c r="J21" i="27"/>
  <c r="I21" i="27"/>
  <c r="H21" i="27"/>
  <c r="G21" i="27"/>
  <c r="F21" i="27"/>
  <c r="E21" i="27"/>
  <c r="D21" i="27"/>
  <c r="C21" i="27"/>
  <c r="B21" i="27"/>
  <c r="V20" i="27"/>
  <c r="U20" i="27"/>
  <c r="T20" i="27"/>
  <c r="S20" i="27"/>
  <c r="R20" i="27"/>
  <c r="Q20" i="27"/>
  <c r="P20" i="27"/>
  <c r="O20" i="27"/>
  <c r="N20" i="27"/>
  <c r="M20" i="27"/>
  <c r="L20" i="27"/>
  <c r="K20" i="27"/>
  <c r="J20" i="27"/>
  <c r="I20" i="27"/>
  <c r="H20" i="27"/>
  <c r="G20" i="27"/>
  <c r="F20" i="27"/>
  <c r="E20" i="27"/>
  <c r="D20" i="27"/>
  <c r="C20" i="27"/>
  <c r="B20" i="27"/>
  <c r="V19" i="27"/>
  <c r="U19" i="27"/>
  <c r="T19" i="27"/>
  <c r="S19" i="27"/>
  <c r="R19" i="27"/>
  <c r="Q19" i="27"/>
  <c r="P19" i="27"/>
  <c r="O19" i="27"/>
  <c r="N19" i="27"/>
  <c r="M19" i="27"/>
  <c r="L19" i="27"/>
  <c r="K19" i="27"/>
  <c r="J19" i="27"/>
  <c r="I19" i="27"/>
  <c r="H19" i="27"/>
  <c r="G19" i="27"/>
  <c r="F19" i="27"/>
  <c r="E19" i="27"/>
  <c r="D19" i="27"/>
  <c r="C19" i="27"/>
  <c r="B19" i="27"/>
  <c r="V18" i="27"/>
  <c r="U18" i="27"/>
  <c r="T18" i="27"/>
  <c r="S18" i="27"/>
  <c r="R18" i="27"/>
  <c r="Q18" i="27"/>
  <c r="P18" i="27"/>
  <c r="O18" i="27"/>
  <c r="N18" i="27"/>
  <c r="M18" i="27"/>
  <c r="L18" i="27"/>
  <c r="K18" i="27"/>
  <c r="J18" i="27"/>
  <c r="I18" i="27"/>
  <c r="H18" i="27"/>
  <c r="G18" i="27"/>
  <c r="F18" i="27"/>
  <c r="E18" i="27"/>
  <c r="D18" i="27"/>
  <c r="C18" i="27"/>
  <c r="B18" i="27"/>
  <c r="V17" i="27"/>
  <c r="U17" i="27"/>
  <c r="T17" i="27"/>
  <c r="S17" i="27"/>
  <c r="R17" i="27"/>
  <c r="Q17" i="27"/>
  <c r="P17" i="27"/>
  <c r="O17" i="27"/>
  <c r="N17" i="27"/>
  <c r="M17" i="27"/>
  <c r="L17" i="27"/>
  <c r="K17" i="27"/>
  <c r="J17" i="27"/>
  <c r="I17" i="27"/>
  <c r="H17" i="27"/>
  <c r="G17" i="27"/>
  <c r="F17" i="27"/>
  <c r="E17" i="27"/>
  <c r="D17" i="27"/>
  <c r="C17" i="27"/>
  <c r="B17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I16" i="27"/>
  <c r="H16" i="27"/>
  <c r="G16" i="27"/>
  <c r="F16" i="27"/>
  <c r="E16" i="27"/>
  <c r="D16" i="27"/>
  <c r="C16" i="27"/>
  <c r="B16" i="27"/>
  <c r="V15" i="27"/>
  <c r="U15" i="27"/>
  <c r="T15" i="27"/>
  <c r="S15" i="27"/>
  <c r="R15" i="27"/>
  <c r="Q15" i="27"/>
  <c r="P15" i="27"/>
  <c r="O15" i="27"/>
  <c r="N15" i="27"/>
  <c r="M15" i="27"/>
  <c r="L15" i="27"/>
  <c r="K15" i="27"/>
  <c r="J15" i="27"/>
  <c r="I15" i="27"/>
  <c r="H15" i="27"/>
  <c r="G15" i="27"/>
  <c r="F15" i="27"/>
  <c r="E15" i="27"/>
  <c r="D15" i="27"/>
  <c r="C15" i="27"/>
  <c r="B15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C14" i="27"/>
  <c r="B14" i="27"/>
  <c r="V13" i="27"/>
  <c r="U13" i="27"/>
  <c r="T13" i="27"/>
  <c r="S13" i="27"/>
  <c r="R13" i="27"/>
  <c r="Q13" i="27"/>
  <c r="P13" i="27"/>
  <c r="O13" i="27"/>
  <c r="N13" i="27"/>
  <c r="M13" i="27"/>
  <c r="L13" i="27"/>
  <c r="K13" i="27"/>
  <c r="J13" i="27"/>
  <c r="I13" i="27"/>
  <c r="H13" i="27"/>
  <c r="G13" i="27"/>
  <c r="F13" i="27"/>
  <c r="E13" i="27"/>
  <c r="D13" i="27"/>
  <c r="C13" i="27"/>
  <c r="B13" i="27"/>
  <c r="V12" i="27"/>
  <c r="U12" i="27"/>
  <c r="T12" i="27"/>
  <c r="S12" i="27"/>
  <c r="R12" i="27"/>
  <c r="Q12" i="27"/>
  <c r="P12" i="27"/>
  <c r="O12" i="27"/>
  <c r="N12" i="27"/>
  <c r="M12" i="27"/>
  <c r="L12" i="27"/>
  <c r="K12" i="27"/>
  <c r="J12" i="27"/>
  <c r="I12" i="27"/>
  <c r="H12" i="27"/>
  <c r="G12" i="27"/>
  <c r="F12" i="27"/>
  <c r="E12" i="27"/>
  <c r="D12" i="27"/>
  <c r="C12" i="27"/>
  <c r="B12" i="27"/>
  <c r="V11" i="27"/>
  <c r="U11" i="27"/>
  <c r="T11" i="27"/>
  <c r="S11" i="27"/>
  <c r="R11" i="27"/>
  <c r="Q11" i="27"/>
  <c r="P11" i="27"/>
  <c r="O11" i="27"/>
  <c r="N11" i="27"/>
  <c r="M11" i="27"/>
  <c r="L11" i="27"/>
  <c r="K11" i="27"/>
  <c r="J11" i="27"/>
  <c r="I11" i="27"/>
  <c r="H11" i="27"/>
  <c r="G11" i="27"/>
  <c r="F11" i="27"/>
  <c r="E11" i="27"/>
  <c r="D11" i="27"/>
  <c r="C11" i="27"/>
  <c r="B11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D10" i="27"/>
  <c r="C10" i="27"/>
  <c r="H8" i="27"/>
  <c r="G8" i="27"/>
  <c r="H7" i="27"/>
  <c r="G7" i="27"/>
  <c r="H6" i="27"/>
  <c r="G6" i="27"/>
  <c r="H5" i="27"/>
  <c r="G5" i="27"/>
  <c r="H4" i="27"/>
  <c r="G4" i="27"/>
  <c r="J3" i="27"/>
  <c r="L22" i="26"/>
  <c r="I22" i="26"/>
  <c r="G22" i="26"/>
  <c r="H22" i="26" s="1"/>
  <c r="K22" i="26" s="1"/>
  <c r="J22" i="26" s="1"/>
  <c r="F22" i="26"/>
  <c r="E22" i="26"/>
  <c r="D22" i="26"/>
  <c r="C22" i="26"/>
  <c r="B22" i="26"/>
  <c r="L21" i="26"/>
  <c r="I21" i="26"/>
  <c r="F21" i="26"/>
  <c r="E21" i="26"/>
  <c r="D21" i="26"/>
  <c r="C21" i="26"/>
  <c r="B21" i="26"/>
  <c r="L20" i="26"/>
  <c r="I20" i="26"/>
  <c r="G20" i="26"/>
  <c r="H20" i="26" s="1"/>
  <c r="K20" i="26" s="1"/>
  <c r="J20" i="26" s="1"/>
  <c r="F20" i="26"/>
  <c r="E20" i="26"/>
  <c r="D20" i="26"/>
  <c r="C20" i="26"/>
  <c r="B20" i="26"/>
  <c r="L19" i="26"/>
  <c r="I19" i="26"/>
  <c r="G19" i="26"/>
  <c r="H19" i="26" s="1"/>
  <c r="K19" i="26" s="1"/>
  <c r="J19" i="26" s="1"/>
  <c r="F19" i="26"/>
  <c r="E19" i="26"/>
  <c r="D19" i="26"/>
  <c r="C19" i="26"/>
  <c r="B19" i="26"/>
  <c r="L18" i="26"/>
  <c r="I18" i="26"/>
  <c r="G18" i="26"/>
  <c r="H18" i="26" s="1"/>
  <c r="K18" i="26" s="1"/>
  <c r="J18" i="26" s="1"/>
  <c r="F18" i="26"/>
  <c r="E18" i="26"/>
  <c r="D18" i="26"/>
  <c r="C18" i="26"/>
  <c r="B18" i="26"/>
  <c r="L17" i="26"/>
  <c r="I17" i="26"/>
  <c r="F17" i="26"/>
  <c r="E17" i="26"/>
  <c r="D17" i="26"/>
  <c r="C17" i="26"/>
  <c r="B17" i="26"/>
  <c r="L16" i="26"/>
  <c r="I16" i="26"/>
  <c r="G16" i="26"/>
  <c r="H16" i="26" s="1"/>
  <c r="K16" i="26" s="1"/>
  <c r="J16" i="26" s="1"/>
  <c r="F16" i="26"/>
  <c r="E16" i="26"/>
  <c r="D16" i="26"/>
  <c r="C16" i="26"/>
  <c r="B16" i="26"/>
  <c r="L15" i="26"/>
  <c r="I15" i="26"/>
  <c r="G15" i="26"/>
  <c r="H15" i="26" s="1"/>
  <c r="K15" i="26" s="1"/>
  <c r="J15" i="26" s="1"/>
  <c r="F15" i="26"/>
  <c r="E15" i="26"/>
  <c r="D15" i="26"/>
  <c r="C15" i="26"/>
  <c r="B15" i="26"/>
  <c r="L14" i="26"/>
  <c r="I14" i="26"/>
  <c r="G14" i="26"/>
  <c r="H14" i="26" s="1"/>
  <c r="K14" i="26" s="1"/>
  <c r="J14" i="26" s="1"/>
  <c r="F14" i="26"/>
  <c r="E14" i="26"/>
  <c r="D14" i="26"/>
  <c r="C14" i="26"/>
  <c r="B14" i="26"/>
  <c r="L13" i="26"/>
  <c r="I13" i="26"/>
  <c r="F13" i="26"/>
  <c r="E13" i="26"/>
  <c r="D13" i="26"/>
  <c r="C13" i="26"/>
  <c r="B13" i="26"/>
  <c r="L12" i="26"/>
  <c r="I12" i="26"/>
  <c r="G12" i="26"/>
  <c r="H12" i="26" s="1"/>
  <c r="K12" i="26" s="1"/>
  <c r="J12" i="26" s="1"/>
  <c r="F12" i="26"/>
  <c r="E12" i="26"/>
  <c r="D12" i="26"/>
  <c r="C12" i="26"/>
  <c r="B12" i="26"/>
  <c r="L11" i="26"/>
  <c r="I11" i="26"/>
  <c r="G11" i="26"/>
  <c r="H11" i="26" s="1"/>
  <c r="K11" i="26" s="1"/>
  <c r="J11" i="26" s="1"/>
  <c r="F11" i="26"/>
  <c r="E11" i="26"/>
  <c r="D11" i="26"/>
  <c r="C11" i="26"/>
  <c r="B11" i="26"/>
  <c r="L10" i="26"/>
  <c r="I10" i="26"/>
  <c r="G10" i="26"/>
  <c r="H10" i="26" s="1"/>
  <c r="K10" i="26" s="1"/>
  <c r="J10" i="26" s="1"/>
  <c r="F10" i="26"/>
  <c r="E10" i="26"/>
  <c r="D10" i="26"/>
  <c r="C10" i="26"/>
  <c r="B10" i="26"/>
  <c r="L9" i="26"/>
  <c r="I9" i="26"/>
  <c r="F9" i="26"/>
  <c r="E9" i="26"/>
  <c r="D9" i="26"/>
  <c r="C9" i="26"/>
  <c r="B9" i="26"/>
  <c r="L8" i="26"/>
  <c r="I8" i="26"/>
  <c r="G8" i="26"/>
  <c r="H8" i="26" s="1"/>
  <c r="K8" i="26" s="1"/>
  <c r="J8" i="26" s="1"/>
  <c r="F8" i="26"/>
  <c r="E8" i="26"/>
  <c r="D8" i="26"/>
  <c r="C8" i="26"/>
  <c r="B8" i="26"/>
  <c r="L7" i="26"/>
  <c r="I7" i="26"/>
  <c r="G7" i="26"/>
  <c r="H7" i="26" s="1"/>
  <c r="K7" i="26" s="1"/>
  <c r="J7" i="26" s="1"/>
  <c r="F7" i="26"/>
  <c r="E7" i="26"/>
  <c r="D7" i="26"/>
  <c r="C7" i="26"/>
  <c r="B7" i="26"/>
  <c r="L6" i="26"/>
  <c r="I6" i="26"/>
  <c r="G6" i="26"/>
  <c r="H6" i="26" s="1"/>
  <c r="K6" i="26" s="1"/>
  <c r="J6" i="26" s="1"/>
  <c r="F6" i="26"/>
  <c r="E6" i="26"/>
  <c r="D6" i="26"/>
  <c r="C6" i="26"/>
  <c r="B6" i="26"/>
  <c r="L5" i="26"/>
  <c r="I5" i="26"/>
  <c r="F5" i="26"/>
  <c r="E5" i="26"/>
  <c r="D5" i="26"/>
  <c r="C5" i="26"/>
  <c r="B5" i="26"/>
  <c r="L4" i="26"/>
  <c r="I4" i="26"/>
  <c r="G4" i="26"/>
  <c r="H4" i="26" s="1"/>
  <c r="K4" i="26" s="1"/>
  <c r="J4" i="26" s="1"/>
  <c r="F4" i="26"/>
  <c r="E4" i="26"/>
  <c r="D4" i="26"/>
  <c r="C4" i="26"/>
  <c r="B4" i="26"/>
  <c r="L3" i="26"/>
  <c r="I3" i="26"/>
  <c r="G3" i="26"/>
  <c r="H3" i="26" s="1"/>
  <c r="F3" i="26"/>
  <c r="E3" i="26"/>
  <c r="D3" i="26"/>
  <c r="C3" i="26"/>
  <c r="B3" i="26"/>
  <c r="H22" i="25"/>
  <c r="G22" i="25"/>
  <c r="F22" i="25"/>
  <c r="E22" i="25"/>
  <c r="D22" i="25"/>
  <c r="C22" i="25"/>
  <c r="B22" i="25"/>
  <c r="H21" i="25"/>
  <c r="G21" i="25"/>
  <c r="F21" i="25"/>
  <c r="E21" i="25"/>
  <c r="D21" i="25"/>
  <c r="C21" i="25"/>
  <c r="B21" i="25"/>
  <c r="H20" i="25"/>
  <c r="G20" i="25"/>
  <c r="F20" i="25"/>
  <c r="E20" i="25"/>
  <c r="D20" i="25"/>
  <c r="C20" i="25"/>
  <c r="B20" i="25"/>
  <c r="H19" i="25"/>
  <c r="G19" i="25"/>
  <c r="F19" i="25"/>
  <c r="E19" i="25"/>
  <c r="D19" i="25"/>
  <c r="C19" i="25"/>
  <c r="B19" i="25"/>
  <c r="H18" i="25"/>
  <c r="G18" i="25"/>
  <c r="F18" i="25"/>
  <c r="E18" i="25"/>
  <c r="D18" i="25"/>
  <c r="C18" i="25"/>
  <c r="B18" i="25"/>
  <c r="H17" i="25"/>
  <c r="G17" i="25"/>
  <c r="F17" i="25"/>
  <c r="E17" i="25"/>
  <c r="D17" i="25"/>
  <c r="C17" i="25"/>
  <c r="B17" i="25"/>
  <c r="H16" i="25"/>
  <c r="G16" i="25"/>
  <c r="F16" i="25"/>
  <c r="E16" i="25"/>
  <c r="D16" i="25"/>
  <c r="C16" i="25"/>
  <c r="B16" i="25"/>
  <c r="H15" i="25"/>
  <c r="G15" i="25"/>
  <c r="F15" i="25"/>
  <c r="E15" i="25"/>
  <c r="D15" i="25"/>
  <c r="C15" i="25"/>
  <c r="B15" i="25"/>
  <c r="H14" i="25"/>
  <c r="G14" i="25"/>
  <c r="F14" i="25"/>
  <c r="E14" i="25"/>
  <c r="D14" i="25"/>
  <c r="C14" i="25"/>
  <c r="B14" i="25"/>
  <c r="H13" i="25"/>
  <c r="G13" i="25"/>
  <c r="F13" i="25"/>
  <c r="E13" i="25"/>
  <c r="D13" i="25"/>
  <c r="C13" i="25"/>
  <c r="B13" i="25"/>
  <c r="H12" i="25"/>
  <c r="G12" i="25"/>
  <c r="F12" i="25"/>
  <c r="E12" i="25"/>
  <c r="D12" i="25"/>
  <c r="C12" i="25"/>
  <c r="B12" i="25"/>
  <c r="H11" i="25"/>
  <c r="G11" i="25"/>
  <c r="F11" i="25"/>
  <c r="E11" i="25"/>
  <c r="D11" i="25"/>
  <c r="C11" i="25"/>
  <c r="B11" i="25"/>
  <c r="H10" i="25"/>
  <c r="G10" i="25"/>
  <c r="F10" i="25"/>
  <c r="E10" i="25"/>
  <c r="D10" i="25"/>
  <c r="C10" i="25"/>
  <c r="B10" i="25"/>
  <c r="H9" i="25"/>
  <c r="G9" i="25"/>
  <c r="F9" i="25"/>
  <c r="E9" i="25"/>
  <c r="D9" i="25"/>
  <c r="C9" i="25"/>
  <c r="B9" i="25"/>
  <c r="H8" i="25"/>
  <c r="G8" i="25"/>
  <c r="F8" i="25"/>
  <c r="E8" i="25"/>
  <c r="D8" i="25"/>
  <c r="C8" i="25"/>
  <c r="B8" i="25"/>
  <c r="H7" i="25"/>
  <c r="G7" i="25"/>
  <c r="F7" i="25"/>
  <c r="E7" i="25"/>
  <c r="D7" i="25"/>
  <c r="C7" i="25"/>
  <c r="B7" i="25"/>
  <c r="H6" i="25"/>
  <c r="G6" i="25"/>
  <c r="F6" i="25"/>
  <c r="E6" i="25"/>
  <c r="D6" i="25"/>
  <c r="C6" i="25"/>
  <c r="B6" i="25"/>
  <c r="H5" i="25"/>
  <c r="G5" i="25"/>
  <c r="F5" i="25"/>
  <c r="E5" i="25"/>
  <c r="D5" i="25"/>
  <c r="C5" i="25"/>
  <c r="B5" i="25"/>
  <c r="H4" i="25"/>
  <c r="G4" i="25"/>
  <c r="F4" i="25"/>
  <c r="E4" i="25"/>
  <c r="D4" i="25"/>
  <c r="C4" i="25"/>
  <c r="B4" i="25"/>
  <c r="H3" i="25"/>
  <c r="G3" i="25"/>
  <c r="F3" i="25"/>
  <c r="E3" i="25"/>
  <c r="D3" i="25"/>
  <c r="C3" i="25"/>
  <c r="B3" i="25"/>
  <c r="C4" i="24"/>
  <c r="G21" i="26" s="1"/>
  <c r="H21" i="26" s="1"/>
  <c r="K21" i="26" s="1"/>
  <c r="J21" i="26" s="1"/>
  <c r="I1" i="23"/>
  <c r="D22" i="22"/>
  <c r="C22" i="22"/>
  <c r="B22" i="22"/>
  <c r="D21" i="22"/>
  <c r="C21" i="22"/>
  <c r="B21" i="22"/>
  <c r="D20" i="22"/>
  <c r="C20" i="22"/>
  <c r="B20" i="22"/>
  <c r="D19" i="22"/>
  <c r="C19" i="22"/>
  <c r="B19" i="22"/>
  <c r="D18" i="22"/>
  <c r="C18" i="22"/>
  <c r="B18" i="22"/>
  <c r="D17" i="22"/>
  <c r="C17" i="22"/>
  <c r="B17" i="22"/>
  <c r="D16" i="22"/>
  <c r="C16" i="22"/>
  <c r="B16" i="22"/>
  <c r="D15" i="22"/>
  <c r="C15" i="22"/>
  <c r="B15" i="22"/>
  <c r="D14" i="22"/>
  <c r="C14" i="22"/>
  <c r="B14" i="22"/>
  <c r="D13" i="22"/>
  <c r="C13" i="22"/>
  <c r="B13" i="22"/>
  <c r="D12" i="22"/>
  <c r="C12" i="22"/>
  <c r="B12" i="22"/>
  <c r="D11" i="22"/>
  <c r="C11" i="22"/>
  <c r="B11" i="22"/>
  <c r="D10" i="22"/>
  <c r="C10" i="22"/>
  <c r="B10" i="22"/>
  <c r="D9" i="22"/>
  <c r="C9" i="22"/>
  <c r="B9" i="22"/>
  <c r="D8" i="22"/>
  <c r="C8" i="22"/>
  <c r="B8" i="22"/>
  <c r="D7" i="22"/>
  <c r="C7" i="22"/>
  <c r="B7" i="22"/>
  <c r="D6" i="22"/>
  <c r="C6" i="22"/>
  <c r="B6" i="22"/>
  <c r="D5" i="22"/>
  <c r="C5" i="22"/>
  <c r="B5" i="22"/>
  <c r="D4" i="22"/>
  <c r="C4" i="22"/>
  <c r="B4" i="22"/>
  <c r="D3" i="22"/>
  <c r="C3" i="22"/>
  <c r="B3" i="22"/>
  <c r="J1" i="22"/>
  <c r="H1" i="22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V10" i="21"/>
  <c r="U10" i="21"/>
  <c r="T10" i="21"/>
  <c r="S10" i="21"/>
  <c r="R10" i="21"/>
  <c r="Q10" i="21"/>
  <c r="P10" i="21"/>
  <c r="O10" i="21"/>
  <c r="N10" i="21"/>
  <c r="M10" i="21"/>
  <c r="L10" i="21"/>
  <c r="K10" i="21"/>
  <c r="J10" i="21"/>
  <c r="I10" i="21"/>
  <c r="H10" i="21"/>
  <c r="G10" i="21"/>
  <c r="F10" i="21"/>
  <c r="E10" i="21"/>
  <c r="D10" i="21"/>
  <c r="C10" i="21"/>
  <c r="H8" i="21"/>
  <c r="G8" i="21"/>
  <c r="H7" i="21"/>
  <c r="G7" i="21"/>
  <c r="H6" i="21"/>
  <c r="G6" i="21"/>
  <c r="H5" i="21"/>
  <c r="G5" i="21"/>
  <c r="H4" i="21"/>
  <c r="G4" i="21"/>
  <c r="J3" i="21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V10" i="20"/>
  <c r="U10" i="20"/>
  <c r="T10" i="20"/>
  <c r="S10" i="20"/>
  <c r="R10" i="20"/>
  <c r="Q10" i="20"/>
  <c r="P10" i="20"/>
  <c r="O10" i="20"/>
  <c r="N10" i="20"/>
  <c r="M10" i="20"/>
  <c r="L10" i="20"/>
  <c r="K10" i="20"/>
  <c r="J10" i="20"/>
  <c r="I10" i="20"/>
  <c r="H10" i="20"/>
  <c r="G10" i="20"/>
  <c r="F10" i="20"/>
  <c r="E10" i="20"/>
  <c r="D10" i="20"/>
  <c r="C10" i="20"/>
  <c r="D22" i="19"/>
  <c r="C22" i="19"/>
  <c r="B22" i="19"/>
  <c r="D21" i="19"/>
  <c r="C21" i="19"/>
  <c r="B21" i="19"/>
  <c r="D20" i="19"/>
  <c r="C20" i="19"/>
  <c r="B20" i="19"/>
  <c r="D19" i="19"/>
  <c r="C19" i="19"/>
  <c r="B19" i="19"/>
  <c r="D18" i="19"/>
  <c r="C18" i="19"/>
  <c r="B18" i="19"/>
  <c r="D17" i="19"/>
  <c r="C17" i="19"/>
  <c r="B17" i="19"/>
  <c r="D16" i="19"/>
  <c r="C16" i="19"/>
  <c r="B16" i="19"/>
  <c r="D15" i="19"/>
  <c r="C15" i="19"/>
  <c r="B15" i="19"/>
  <c r="D14" i="19"/>
  <c r="C14" i="19"/>
  <c r="B14" i="19"/>
  <c r="D13" i="19"/>
  <c r="C13" i="19"/>
  <c r="B13" i="19"/>
  <c r="D12" i="19"/>
  <c r="C12" i="19"/>
  <c r="B12" i="19"/>
  <c r="D11" i="19"/>
  <c r="C11" i="19"/>
  <c r="B11" i="19"/>
  <c r="D10" i="19"/>
  <c r="C10" i="19"/>
  <c r="B10" i="19"/>
  <c r="D9" i="19"/>
  <c r="C9" i="19"/>
  <c r="B9" i="19"/>
  <c r="D8" i="19"/>
  <c r="C8" i="19"/>
  <c r="B8" i="19"/>
  <c r="D7" i="19"/>
  <c r="C7" i="19"/>
  <c r="B7" i="19"/>
  <c r="D6" i="19"/>
  <c r="C6" i="19"/>
  <c r="B6" i="19"/>
  <c r="D5" i="19"/>
  <c r="C5" i="19"/>
  <c r="B5" i="19"/>
  <c r="D4" i="19"/>
  <c r="C4" i="19"/>
  <c r="B4" i="19"/>
  <c r="D3" i="19"/>
  <c r="C3" i="19"/>
  <c r="B3" i="19"/>
  <c r="J1" i="19"/>
  <c r="H1" i="19"/>
  <c r="C22" i="8"/>
  <c r="B22" i="8"/>
  <c r="C21" i="8"/>
  <c r="B21" i="8"/>
  <c r="C20" i="8"/>
  <c r="B20" i="8"/>
  <c r="C19" i="8"/>
  <c r="B19" i="8"/>
  <c r="C18" i="8"/>
  <c r="B18" i="8"/>
  <c r="C17" i="8"/>
  <c r="B17" i="8"/>
  <c r="C16" i="8"/>
  <c r="B16" i="8"/>
  <c r="C15" i="8"/>
  <c r="B15" i="8"/>
  <c r="C14" i="8"/>
  <c r="B14" i="8"/>
  <c r="C13" i="8"/>
  <c r="B13" i="8"/>
  <c r="C12" i="8"/>
  <c r="B12" i="8"/>
  <c r="C11" i="8"/>
  <c r="B11" i="8"/>
  <c r="C10" i="8"/>
  <c r="B10" i="8"/>
  <c r="C9" i="8"/>
  <c r="B9" i="8"/>
  <c r="C8" i="8"/>
  <c r="B8" i="8"/>
  <c r="C7" i="8"/>
  <c r="B7" i="8"/>
  <c r="C6" i="8"/>
  <c r="B6" i="8"/>
  <c r="C5" i="8"/>
  <c r="B5" i="8"/>
  <c r="C4" i="8"/>
  <c r="B4" i="8"/>
  <c r="C3" i="8"/>
  <c r="B3" i="8"/>
  <c r="I1" i="8"/>
  <c r="G1" i="8"/>
  <c r="I1" i="6"/>
  <c r="G1" i="6"/>
  <c r="K3" i="26" l="1"/>
  <c r="J3" i="26" s="1"/>
  <c r="G5" i="26"/>
  <c r="H5" i="26" s="1"/>
  <c r="K5" i="26" s="1"/>
  <c r="J5" i="26" s="1"/>
  <c r="G9" i="26"/>
  <c r="H9" i="26" s="1"/>
  <c r="K9" i="26" s="1"/>
  <c r="J9" i="26" s="1"/>
  <c r="G13" i="26"/>
  <c r="H13" i="26" s="1"/>
  <c r="K13" i="26" s="1"/>
  <c r="J13" i="26" s="1"/>
  <c r="G17" i="26"/>
  <c r="H17" i="26" s="1"/>
  <c r="K17" i="26" s="1"/>
  <c r="J17" i="26" s="1"/>
  <c r="P7" i="28"/>
  <c r="P10" i="28"/>
  <c r="P12" i="28" s="1"/>
  <c r="T7" i="28"/>
  <c r="T10" i="28"/>
  <c r="T12" i="28" s="1"/>
  <c r="X7" i="28"/>
  <c r="X10" i="28"/>
  <c r="X11" i="28" s="1"/>
  <c r="Q7" i="28"/>
  <c r="Q10" i="28"/>
  <c r="Q13" i="28" s="1"/>
  <c r="U7" i="28"/>
  <c r="U10" i="28"/>
  <c r="U13" i="28" s="1"/>
  <c r="Y7" i="28"/>
  <c r="Y10" i="28"/>
  <c r="Y13" i="28" s="1"/>
  <c r="N7" i="28"/>
  <c r="N10" i="28"/>
  <c r="N13" i="28" s="1"/>
  <c r="R7" i="28"/>
  <c r="R10" i="28"/>
  <c r="R14" i="28" s="1"/>
  <c r="V7" i="28"/>
  <c r="V10" i="28"/>
  <c r="V12" i="28" s="1"/>
  <c r="O7" i="28"/>
  <c r="O10" i="28"/>
  <c r="O13" i="28" s="1"/>
  <c r="S7" i="28"/>
  <c r="S10" i="28"/>
  <c r="S15" i="28" s="1"/>
  <c r="W7" i="28"/>
  <c r="W10" i="28"/>
  <c r="W12" i="28" s="1"/>
  <c r="I6" i="28"/>
  <c r="N1" i="28"/>
  <c r="P1" i="28" s="1"/>
  <c r="L6" i="28"/>
  <c r="H6" i="28"/>
  <c r="M6" i="28"/>
  <c r="G6" i="28"/>
  <c r="K6" i="28"/>
  <c r="F6" i="28"/>
  <c r="J6" i="28"/>
  <c r="K1" i="23" l="1"/>
  <c r="H1" i="28"/>
  <c r="L1" i="28" s="1"/>
  <c r="N12" i="28"/>
  <c r="O11" i="28"/>
  <c r="Q14" i="28"/>
  <c r="T13" i="28"/>
  <c r="Q12" i="28"/>
  <c r="W15" i="28"/>
  <c r="O12" i="28"/>
  <c r="Y14" i="28"/>
  <c r="Y12" i="28"/>
  <c r="S12" i="28"/>
  <c r="R15" i="28"/>
  <c r="Y11" i="28"/>
  <c r="X14" i="28"/>
  <c r="O14" i="28"/>
  <c r="W11" i="28"/>
  <c r="N11" i="28"/>
  <c r="U14" i="28"/>
  <c r="T15" i="28"/>
  <c r="T11" i="28"/>
  <c r="J7" i="28"/>
  <c r="J10" i="28"/>
  <c r="M7" i="28"/>
  <c r="M10" i="28"/>
  <c r="I7" i="28"/>
  <c r="I10" i="28"/>
  <c r="H7" i="28"/>
  <c r="H10" i="28"/>
  <c r="S14" i="28"/>
  <c r="S11" i="28"/>
  <c r="U12" i="28"/>
  <c r="U15" i="28"/>
  <c r="P11" i="28"/>
  <c r="X15" i="28"/>
  <c r="P13" i="28"/>
  <c r="V15" i="28"/>
  <c r="V14" i="28"/>
  <c r="N15" i="28"/>
  <c r="K7" i="28"/>
  <c r="K10" i="28"/>
  <c r="L7" i="28"/>
  <c r="L10" i="28"/>
  <c r="V11" i="28"/>
  <c r="U11" i="28"/>
  <c r="X12" i="28"/>
  <c r="P14" i="28"/>
  <c r="N14" i="28"/>
  <c r="V13" i="28"/>
  <c r="S13" i="28"/>
  <c r="G7" i="28"/>
  <c r="G10" i="28"/>
  <c r="R12" i="28"/>
  <c r="R11" i="28"/>
  <c r="R13" i="28"/>
  <c r="Q11" i="28"/>
  <c r="Y15" i="28"/>
  <c r="Q15" i="28"/>
  <c r="X13" i="28"/>
  <c r="T14" i="28"/>
  <c r="P15" i="28"/>
  <c r="W13" i="28"/>
  <c r="O15" i="28"/>
  <c r="W14" i="28"/>
  <c r="F7" i="28"/>
  <c r="F10" i="28"/>
  <c r="L11" i="28" l="1"/>
  <c r="L15" i="28"/>
  <c r="L14" i="28"/>
  <c r="L13" i="28"/>
  <c r="L12" i="28"/>
  <c r="I15" i="28"/>
  <c r="I13" i="28"/>
  <c r="I11" i="28"/>
  <c r="I14" i="28"/>
  <c r="I12" i="28"/>
  <c r="J13" i="28"/>
  <c r="J14" i="28"/>
  <c r="J15" i="28"/>
  <c r="J11" i="28"/>
  <c r="J12" i="28"/>
  <c r="K15" i="28"/>
  <c r="K11" i="28"/>
  <c r="K12" i="28"/>
  <c r="K14" i="28"/>
  <c r="K13" i="28"/>
  <c r="H12" i="28"/>
  <c r="H13" i="28"/>
  <c r="H11" i="28"/>
  <c r="H15" i="28"/>
  <c r="H14" i="28"/>
  <c r="M15" i="28"/>
  <c r="M12" i="28"/>
  <c r="M14" i="28"/>
  <c r="M11" i="28"/>
  <c r="M13" i="28"/>
  <c r="G14" i="28"/>
  <c r="G15" i="28"/>
  <c r="G12" i="28"/>
  <c r="G13" i="28"/>
  <c r="G11" i="28"/>
  <c r="F13" i="28"/>
  <c r="F18" i="28" s="1"/>
  <c r="F12" i="28"/>
  <c r="F14" i="28"/>
  <c r="F26" i="28" s="1"/>
  <c r="C21" i="30"/>
  <c r="M10" i="30"/>
  <c r="F15" i="28"/>
  <c r="B21" i="30"/>
  <c r="F11" i="28"/>
  <c r="M11" i="30"/>
  <c r="F22" i="28" l="1"/>
  <c r="F24" i="28"/>
  <c r="M21" i="30"/>
  <c r="G26" i="28"/>
  <c r="G27" i="28"/>
  <c r="F21" i="28"/>
  <c r="F25" i="28" l="1"/>
  <c r="F23" i="28"/>
  <c r="G21" i="28"/>
  <c r="G23" i="28" s="1"/>
  <c r="G17" i="28"/>
  <c r="G16" i="28"/>
  <c r="H26" i="28"/>
  <c r="H27" i="28"/>
  <c r="G25" i="28" l="1"/>
  <c r="G19" i="28"/>
  <c r="G18" i="28"/>
  <c r="G22" i="28" s="1"/>
  <c r="G20" i="28"/>
  <c r="H21" i="28"/>
  <c r="H23" i="28" s="1"/>
  <c r="H17" i="28"/>
  <c r="I27" i="28"/>
  <c r="I26" i="28"/>
  <c r="G24" i="28" l="1"/>
  <c r="I21" i="28"/>
  <c r="I23" i="28" s="1"/>
  <c r="I17" i="28"/>
  <c r="H25" i="28"/>
  <c r="H19" i="28"/>
  <c r="J26" i="28"/>
  <c r="J27" i="28"/>
  <c r="I25" i="28" l="1"/>
  <c r="K26" i="28"/>
  <c r="K27" i="28"/>
  <c r="I19" i="28"/>
  <c r="J21" i="28"/>
  <c r="J23" i="28" s="1"/>
  <c r="J17" i="28"/>
  <c r="K21" i="28" l="1"/>
  <c r="K23" i="28" s="1"/>
  <c r="K17" i="28"/>
  <c r="J19" i="28"/>
  <c r="J25" i="28"/>
  <c r="L27" i="28"/>
  <c r="L26" i="28"/>
  <c r="K25" i="28" l="1"/>
  <c r="M26" i="28"/>
  <c r="M27" i="28"/>
  <c r="L21" i="28"/>
  <c r="L23" i="28" s="1"/>
  <c r="L17" i="28"/>
  <c r="K19" i="28"/>
  <c r="M17" i="28" l="1"/>
  <c r="M21" i="28"/>
  <c r="M23" i="28" s="1"/>
  <c r="N26" i="28"/>
  <c r="N27" i="28"/>
  <c r="L19" i="28"/>
  <c r="L25" i="28"/>
  <c r="M25" i="28" l="1"/>
  <c r="C20" i="30" s="1"/>
  <c r="N20" i="28"/>
  <c r="N23" i="28"/>
  <c r="N19" i="28"/>
  <c r="N22" i="28"/>
  <c r="N18" i="28"/>
  <c r="N21" i="28"/>
  <c r="N17" i="28"/>
  <c r="M19" i="28"/>
  <c r="O26" i="28"/>
  <c r="O27" i="28"/>
  <c r="J11" i="30" l="1"/>
  <c r="L11" i="30"/>
  <c r="C19" i="30"/>
  <c r="H11" i="30"/>
  <c r="C16" i="30"/>
  <c r="K11" i="30"/>
  <c r="C13" i="30"/>
  <c r="E11" i="30"/>
  <c r="I11" i="30"/>
  <c r="C17" i="30"/>
  <c r="N25" i="28"/>
  <c r="C32" i="30" s="1"/>
  <c r="C15" i="30"/>
  <c r="C18" i="30"/>
  <c r="G11" i="30"/>
  <c r="F11" i="30"/>
  <c r="C14" i="30"/>
  <c r="O20" i="28"/>
  <c r="O23" i="28"/>
  <c r="O19" i="28"/>
  <c r="O22" i="28"/>
  <c r="O18" i="28"/>
  <c r="O21" i="28"/>
  <c r="O17" i="28"/>
  <c r="P27" i="28"/>
  <c r="P26" i="28"/>
  <c r="U11" i="30" l="1"/>
  <c r="C27" i="30"/>
  <c r="C26" i="30"/>
  <c r="C28" i="30"/>
  <c r="T11" i="30"/>
  <c r="N11" i="30"/>
  <c r="P11" i="30"/>
  <c r="C30" i="30"/>
  <c r="R11" i="30"/>
  <c r="C29" i="30"/>
  <c r="X11" i="30"/>
  <c r="C24" i="30"/>
  <c r="C23" i="30"/>
  <c r="C25" i="30"/>
  <c r="W11" i="30"/>
  <c r="C22" i="30"/>
  <c r="V11" i="30"/>
  <c r="O11" i="30"/>
  <c r="Q11" i="30"/>
  <c r="S11" i="30"/>
  <c r="C31" i="30"/>
  <c r="Q27" i="28"/>
  <c r="Q26" i="28"/>
  <c r="O25" i="28"/>
  <c r="P18" i="28"/>
  <c r="P20" i="28"/>
  <c r="P23" i="28"/>
  <c r="P17" i="28"/>
  <c r="P21" i="28"/>
  <c r="P22" i="28"/>
  <c r="P19" i="28"/>
  <c r="R27" i="28" l="1"/>
  <c r="R26" i="28"/>
  <c r="Q22" i="28"/>
  <c r="Q23" i="28"/>
  <c r="Q20" i="28"/>
  <c r="Q21" i="28"/>
  <c r="Q18" i="28"/>
  <c r="Q19" i="28"/>
  <c r="Q17" i="28"/>
  <c r="P25" i="28"/>
  <c r="S26" i="28" l="1"/>
  <c r="S27" i="28"/>
  <c r="Q25" i="28"/>
  <c r="R20" i="28"/>
  <c r="R23" i="28"/>
  <c r="R19" i="28"/>
  <c r="R22" i="28"/>
  <c r="R18" i="28"/>
  <c r="R21" i="28"/>
  <c r="R17" i="28"/>
  <c r="R25" i="28" l="1"/>
  <c r="S20" i="28"/>
  <c r="S23" i="28"/>
  <c r="S19" i="28"/>
  <c r="S22" i="28"/>
  <c r="S18" i="28"/>
  <c r="S21" i="28"/>
  <c r="S17" i="28"/>
  <c r="T27" i="28"/>
  <c r="T26" i="28"/>
  <c r="U26" i="28" l="1"/>
  <c r="U27" i="28"/>
  <c r="T17" i="28"/>
  <c r="T23" i="28"/>
  <c r="T22" i="28"/>
  <c r="T21" i="28"/>
  <c r="T20" i="28"/>
  <c r="T19" i="28"/>
  <c r="T18" i="28"/>
  <c r="S25" i="28"/>
  <c r="U22" i="28" l="1"/>
  <c r="U23" i="28"/>
  <c r="U20" i="28"/>
  <c r="U21" i="28"/>
  <c r="U18" i="28"/>
  <c r="U19" i="28"/>
  <c r="U17" i="28"/>
  <c r="V27" i="28"/>
  <c r="V26" i="28"/>
  <c r="T25" i="28"/>
  <c r="W26" i="28" l="1"/>
  <c r="W27" i="28"/>
  <c r="V20" i="28"/>
  <c r="V23" i="28"/>
  <c r="V19" i="28"/>
  <c r="V22" i="28"/>
  <c r="V18" i="28"/>
  <c r="V21" i="28"/>
  <c r="V17" i="28"/>
  <c r="U25" i="28"/>
  <c r="V25" i="28" l="1"/>
  <c r="W21" i="28"/>
  <c r="W17" i="28"/>
  <c r="W20" i="28"/>
  <c r="W23" i="28"/>
  <c r="W19" i="28"/>
  <c r="W22" i="28"/>
  <c r="W18" i="28"/>
  <c r="X27" i="28"/>
  <c r="X26" i="28"/>
  <c r="W25" i="28" l="1"/>
  <c r="Y27" i="28"/>
  <c r="B15" i="28" s="1"/>
  <c r="C15" i="28" s="1" a="1"/>
  <c r="C15" i="28" s="1"/>
  <c r="Y26" i="28"/>
  <c r="X21" i="28"/>
  <c r="X18" i="28"/>
  <c r="X19" i="28"/>
  <c r="X20" i="28"/>
  <c r="X17" i="28"/>
  <c r="X23" i="28"/>
  <c r="X22" i="28"/>
  <c r="X25" i="28" l="1"/>
  <c r="Y23" i="28"/>
  <c r="Y20" i="28"/>
  <c r="Y21" i="28"/>
  <c r="Y18" i="28"/>
  <c r="B19" i="28"/>
  <c r="C19" i="28" s="1" a="1"/>
  <c r="C19" i="28" s="1"/>
  <c r="D19" i="28" s="1"/>
  <c r="B18" i="28"/>
  <c r="C18" i="28" s="1" a="1"/>
  <c r="C18" i="28" s="1"/>
  <c r="D18" i="28" s="1"/>
  <c r="Y19" i="28"/>
  <c r="Y17" i="28"/>
  <c r="B17" i="28"/>
  <c r="C17" i="28" s="1" a="1"/>
  <c r="C17" i="28" s="1"/>
  <c r="D17" i="28" s="1"/>
  <c r="Y22" i="28"/>
  <c r="B14" i="28"/>
  <c r="C14" i="28" s="1" a="1"/>
  <c r="C14" i="28" s="1"/>
  <c r="B13" i="28"/>
  <c r="B16" i="28"/>
  <c r="C16" i="28" s="1" a="1"/>
  <c r="C16" i="28" s="1"/>
  <c r="D16" i="28" s="1"/>
  <c r="Y25" i="28" l="1"/>
  <c r="Y28" i="28"/>
  <c r="N28" i="28"/>
  <c r="R28" i="28"/>
  <c r="V28" i="28"/>
  <c r="K28" i="28"/>
  <c r="O28" i="28"/>
  <c r="S28" i="28"/>
  <c r="W28" i="28"/>
  <c r="L28" i="28"/>
  <c r="P28" i="28"/>
  <c r="T28" i="28"/>
  <c r="X28" i="28"/>
  <c r="C13" i="28" a="1"/>
  <c r="C13" i="28" s="1"/>
  <c r="H28" i="28" s="1"/>
  <c r="M28" i="28"/>
  <c r="Q28" i="28"/>
  <c r="U28" i="28"/>
  <c r="J28" i="28" l="1"/>
  <c r="I28" i="28"/>
  <c r="F28" i="28"/>
  <c r="D13" i="28"/>
  <c r="G28" i="28"/>
  <c r="D14" i="28" l="1"/>
  <c r="H16" i="28"/>
  <c r="I16" i="28" l="1"/>
  <c r="H18" i="28"/>
  <c r="H22" i="28" s="1"/>
  <c r="H20" i="28"/>
  <c r="D15" i="28"/>
  <c r="I18" i="28" l="1"/>
  <c r="I22" i="28" s="1"/>
  <c r="J16" i="28"/>
  <c r="K16" i="28" s="1"/>
  <c r="K18" i="28" s="1"/>
  <c r="K22" i="28" s="1"/>
  <c r="I20" i="28"/>
  <c r="H24" i="28"/>
  <c r="K20" i="28" l="1"/>
  <c r="L16" i="28"/>
  <c r="L20" i="28" s="1"/>
  <c r="J18" i="28"/>
  <c r="J22" i="28" s="1"/>
  <c r="J20" i="28"/>
  <c r="I24" i="28"/>
  <c r="K24" i="28"/>
  <c r="M16" i="28" l="1"/>
  <c r="M18" i="28" s="1"/>
  <c r="M22" i="28" s="1"/>
  <c r="L18" i="28"/>
  <c r="L24" i="28" s="1"/>
  <c r="N16" i="28"/>
  <c r="J24" i="28"/>
  <c r="M20" i="28" l="1"/>
  <c r="L22" i="28"/>
  <c r="N24" i="28"/>
  <c r="O16" i="28"/>
  <c r="M24" i="28"/>
  <c r="L10" i="30" s="1"/>
  <c r="B19" i="30" l="1"/>
  <c r="M19" i="30" s="1"/>
  <c r="B20" i="30"/>
  <c r="L20" i="30" s="1"/>
  <c r="J10" i="30"/>
  <c r="J21" i="30" s="1"/>
  <c r="B18" i="30"/>
  <c r="M18" i="30" s="1"/>
  <c r="H10" i="30"/>
  <c r="H21" i="30" s="1"/>
  <c r="B16" i="30"/>
  <c r="L16" i="30" s="1"/>
  <c r="K10" i="30"/>
  <c r="B13" i="30"/>
  <c r="L13" i="30" s="1"/>
  <c r="E10" i="30"/>
  <c r="B17" i="30"/>
  <c r="I10" i="30"/>
  <c r="G10" i="30"/>
  <c r="B15" i="30"/>
  <c r="P16" i="28"/>
  <c r="O24" i="28"/>
  <c r="B24" i="30"/>
  <c r="B22" i="30"/>
  <c r="B28" i="30"/>
  <c r="O10" i="30"/>
  <c r="W10" i="30"/>
  <c r="N10" i="30"/>
  <c r="P10" i="30"/>
  <c r="U10" i="30"/>
  <c r="B31" i="30"/>
  <c r="B30" i="30"/>
  <c r="B25" i="30"/>
  <c r="B27" i="30"/>
  <c r="T10" i="30"/>
  <c r="B32" i="30"/>
  <c r="B29" i="30"/>
  <c r="S10" i="30"/>
  <c r="B23" i="30"/>
  <c r="Q10" i="30"/>
  <c r="R10" i="30"/>
  <c r="V10" i="30"/>
  <c r="X10" i="30"/>
  <c r="B26" i="30"/>
  <c r="F10" i="30"/>
  <c r="B14" i="30"/>
  <c r="L21" i="30"/>
  <c r="R19" i="30" l="1"/>
  <c r="P19" i="30"/>
  <c r="U19" i="30"/>
  <c r="M20" i="30"/>
  <c r="L19" i="30"/>
  <c r="X19" i="30"/>
  <c r="G19" i="30"/>
  <c r="I20" i="30"/>
  <c r="Q20" i="30"/>
  <c r="N20" i="30"/>
  <c r="J19" i="30"/>
  <c r="J20" i="30"/>
  <c r="S20" i="30"/>
  <c r="U20" i="30"/>
  <c r="O20" i="30"/>
  <c r="J16" i="30"/>
  <c r="E20" i="30"/>
  <c r="M13" i="30"/>
  <c r="J18" i="30"/>
  <c r="L18" i="30"/>
  <c r="K18" i="30"/>
  <c r="H20" i="30"/>
  <c r="H19" i="30"/>
  <c r="H18" i="30"/>
  <c r="H17" i="30"/>
  <c r="E19" i="30"/>
  <c r="K16" i="30"/>
  <c r="M16" i="30"/>
  <c r="H16" i="30"/>
  <c r="K19" i="30"/>
  <c r="I21" i="30"/>
  <c r="K20" i="30"/>
  <c r="S19" i="30"/>
  <c r="E18" i="30"/>
  <c r="K21" i="30"/>
  <c r="E13" i="30"/>
  <c r="K13" i="30"/>
  <c r="H13" i="30"/>
  <c r="J13" i="30"/>
  <c r="E21" i="30"/>
  <c r="E16" i="30"/>
  <c r="I19" i="30"/>
  <c r="I13" i="30"/>
  <c r="I18" i="30"/>
  <c r="I16" i="30"/>
  <c r="L17" i="30"/>
  <c r="J17" i="30"/>
  <c r="N19" i="30"/>
  <c r="I17" i="30"/>
  <c r="Q19" i="30"/>
  <c r="K17" i="30"/>
  <c r="E17" i="30"/>
  <c r="M17" i="30"/>
  <c r="R20" i="30"/>
  <c r="G15" i="30"/>
  <c r="I15" i="30"/>
  <c r="J15" i="30"/>
  <c r="H15" i="30"/>
  <c r="M15" i="30"/>
  <c r="E15" i="30"/>
  <c r="G13" i="30"/>
  <c r="G21" i="30"/>
  <c r="G16" i="30"/>
  <c r="G17" i="30"/>
  <c r="G20" i="30"/>
  <c r="G18" i="30"/>
  <c r="L15" i="30"/>
  <c r="K15" i="30"/>
  <c r="X21" i="30"/>
  <c r="X13" i="30"/>
  <c r="X18" i="30"/>
  <c r="X15" i="30"/>
  <c r="X16" i="30"/>
  <c r="X17" i="30"/>
  <c r="S23" i="30"/>
  <c r="V23" i="30"/>
  <c r="M23" i="30"/>
  <c r="R23" i="30"/>
  <c r="U23" i="30"/>
  <c r="O23" i="30"/>
  <c r="P23" i="30"/>
  <c r="Q23" i="30"/>
  <c r="N23" i="30"/>
  <c r="W23" i="30"/>
  <c r="T23" i="30"/>
  <c r="X23" i="30"/>
  <c r="K23" i="30"/>
  <c r="G23" i="30"/>
  <c r="I23" i="30"/>
  <c r="J23" i="30"/>
  <c r="F23" i="30"/>
  <c r="L23" i="30"/>
  <c r="E23" i="30"/>
  <c r="H23" i="30"/>
  <c r="T21" i="30"/>
  <c r="T18" i="30"/>
  <c r="T15" i="30"/>
  <c r="T16" i="30"/>
  <c r="T17" i="30"/>
  <c r="T13" i="30"/>
  <c r="U31" i="30"/>
  <c r="M31" i="30"/>
  <c r="P31" i="30"/>
  <c r="O31" i="30"/>
  <c r="T31" i="30"/>
  <c r="Q31" i="30"/>
  <c r="N31" i="30"/>
  <c r="R31" i="30"/>
  <c r="S31" i="30"/>
  <c r="V31" i="30"/>
  <c r="W31" i="30"/>
  <c r="X31" i="30"/>
  <c r="H31" i="30"/>
  <c r="G31" i="30"/>
  <c r="L31" i="30"/>
  <c r="K31" i="30"/>
  <c r="J31" i="30"/>
  <c r="E31" i="30"/>
  <c r="I31" i="30"/>
  <c r="F31" i="30"/>
  <c r="W21" i="30"/>
  <c r="W17" i="30"/>
  <c r="W15" i="30"/>
  <c r="W13" i="30"/>
  <c r="W16" i="30"/>
  <c r="W18" i="30"/>
  <c r="N24" i="30"/>
  <c r="Q24" i="30"/>
  <c r="V24" i="30"/>
  <c r="S24" i="30"/>
  <c r="U24" i="30"/>
  <c r="W24" i="30"/>
  <c r="O24" i="30"/>
  <c r="T24" i="30"/>
  <c r="P24" i="30"/>
  <c r="X24" i="30"/>
  <c r="R24" i="30"/>
  <c r="M24" i="30"/>
  <c r="K24" i="30"/>
  <c r="J24" i="30"/>
  <c r="F24" i="30"/>
  <c r="H24" i="30"/>
  <c r="G24" i="30"/>
  <c r="I24" i="30"/>
  <c r="E24" i="30"/>
  <c r="L24" i="30"/>
  <c r="X20" i="30"/>
  <c r="W20" i="30"/>
  <c r="V21" i="30"/>
  <c r="V17" i="30"/>
  <c r="V13" i="30"/>
  <c r="V15" i="30"/>
  <c r="V16" i="30"/>
  <c r="V18" i="30"/>
  <c r="S21" i="30"/>
  <c r="S17" i="30"/>
  <c r="S15" i="30"/>
  <c r="S16" i="30"/>
  <c r="S18" i="30"/>
  <c r="S13" i="30"/>
  <c r="R27" i="30"/>
  <c r="U27" i="30"/>
  <c r="O27" i="30"/>
  <c r="P27" i="30"/>
  <c r="T27" i="30"/>
  <c r="N27" i="30"/>
  <c r="Q27" i="30"/>
  <c r="V27" i="30"/>
  <c r="M27" i="30"/>
  <c r="W27" i="30"/>
  <c r="X27" i="30"/>
  <c r="S27" i="30"/>
  <c r="E27" i="30"/>
  <c r="J27" i="30"/>
  <c r="H27" i="30"/>
  <c r="L27" i="30"/>
  <c r="I27" i="30"/>
  <c r="K27" i="30"/>
  <c r="F27" i="30"/>
  <c r="G27" i="30"/>
  <c r="U21" i="30"/>
  <c r="U17" i="30"/>
  <c r="U15" i="30"/>
  <c r="U16" i="30"/>
  <c r="U13" i="30"/>
  <c r="U18" i="30"/>
  <c r="O21" i="30"/>
  <c r="O13" i="30"/>
  <c r="O17" i="30"/>
  <c r="O18" i="30"/>
  <c r="O16" i="30"/>
  <c r="O15" i="30"/>
  <c r="Q16" i="28"/>
  <c r="P24" i="28"/>
  <c r="O14" i="30"/>
  <c r="E14" i="30"/>
  <c r="R14" i="30"/>
  <c r="I14" i="30"/>
  <c r="S14" i="30"/>
  <c r="M14" i="30"/>
  <c r="F14" i="30"/>
  <c r="J14" i="30"/>
  <c r="G14" i="30"/>
  <c r="X14" i="30"/>
  <c r="N14" i="30"/>
  <c r="T14" i="30"/>
  <c r="U14" i="30"/>
  <c r="L14" i="30"/>
  <c r="W14" i="30"/>
  <c r="K14" i="30"/>
  <c r="H14" i="30"/>
  <c r="V14" i="30"/>
  <c r="P14" i="30"/>
  <c r="Q14" i="30"/>
  <c r="T20" i="30"/>
  <c r="V19" i="30"/>
  <c r="R21" i="30"/>
  <c r="R17" i="30"/>
  <c r="R15" i="30"/>
  <c r="R16" i="30"/>
  <c r="R18" i="30"/>
  <c r="R13" i="30"/>
  <c r="W29" i="30"/>
  <c r="T29" i="30"/>
  <c r="M29" i="30"/>
  <c r="N29" i="30"/>
  <c r="X29" i="30"/>
  <c r="S29" i="30"/>
  <c r="V29" i="30"/>
  <c r="P29" i="30"/>
  <c r="O29" i="30"/>
  <c r="R29" i="30"/>
  <c r="Q29" i="30"/>
  <c r="U29" i="30"/>
  <c r="I29" i="30"/>
  <c r="K29" i="30"/>
  <c r="L29" i="30"/>
  <c r="F29" i="30"/>
  <c r="G29" i="30"/>
  <c r="H29" i="30"/>
  <c r="E29" i="30"/>
  <c r="J29" i="30"/>
  <c r="M25" i="30"/>
  <c r="P25" i="30"/>
  <c r="R25" i="30"/>
  <c r="U25" i="30"/>
  <c r="T25" i="30"/>
  <c r="Q25" i="30"/>
  <c r="W25" i="30"/>
  <c r="S25" i="30"/>
  <c r="V25" i="30"/>
  <c r="N25" i="30"/>
  <c r="O25" i="30"/>
  <c r="X25" i="30"/>
  <c r="E25" i="30"/>
  <c r="J25" i="30"/>
  <c r="F25" i="30"/>
  <c r="G25" i="30"/>
  <c r="I25" i="30"/>
  <c r="H25" i="30"/>
  <c r="K25" i="30"/>
  <c r="L25" i="30"/>
  <c r="P21" i="30"/>
  <c r="P13" i="30"/>
  <c r="P16" i="30"/>
  <c r="P15" i="30"/>
  <c r="P17" i="30"/>
  <c r="P18" i="30"/>
  <c r="M28" i="30"/>
  <c r="Q28" i="30"/>
  <c r="U28" i="30"/>
  <c r="R28" i="30"/>
  <c r="S28" i="30"/>
  <c r="T28" i="30"/>
  <c r="V28" i="30"/>
  <c r="P28" i="30"/>
  <c r="X28" i="30"/>
  <c r="N28" i="30"/>
  <c r="W28" i="30"/>
  <c r="O28" i="30"/>
  <c r="E28" i="30"/>
  <c r="I28" i="30"/>
  <c r="F28" i="30"/>
  <c r="G28" i="30"/>
  <c r="K28" i="30"/>
  <c r="H28" i="30"/>
  <c r="L28" i="30"/>
  <c r="J28" i="30"/>
  <c r="F19" i="30"/>
  <c r="F17" i="30"/>
  <c r="F21" i="30"/>
  <c r="F13" i="30"/>
  <c r="F16" i="30"/>
  <c r="F18" i="30"/>
  <c r="F15" i="30"/>
  <c r="V20" i="30"/>
  <c r="F20" i="30"/>
  <c r="P20" i="30"/>
  <c r="O19" i="30"/>
  <c r="T19" i="30"/>
  <c r="W19" i="30"/>
  <c r="V26" i="30"/>
  <c r="X26" i="30"/>
  <c r="N26" i="30"/>
  <c r="S26" i="30"/>
  <c r="P26" i="30"/>
  <c r="O26" i="30"/>
  <c r="R26" i="30"/>
  <c r="W26" i="30"/>
  <c r="U26" i="30"/>
  <c r="T26" i="30"/>
  <c r="M26" i="30"/>
  <c r="Q26" i="30"/>
  <c r="K26" i="30"/>
  <c r="I26" i="30"/>
  <c r="G26" i="30"/>
  <c r="L26" i="30"/>
  <c r="E26" i="30"/>
  <c r="J26" i="30"/>
  <c r="F26" i="30"/>
  <c r="H26" i="30"/>
  <c r="Q21" i="30"/>
  <c r="Q13" i="30"/>
  <c r="Q18" i="30"/>
  <c r="Q17" i="30"/>
  <c r="Q15" i="30"/>
  <c r="Q16" i="30"/>
  <c r="P32" i="30"/>
  <c r="M32" i="30"/>
  <c r="T32" i="30"/>
  <c r="N32" i="30"/>
  <c r="S32" i="30"/>
  <c r="V32" i="30"/>
  <c r="W32" i="30"/>
  <c r="R32" i="30"/>
  <c r="Q32" i="30"/>
  <c r="X32" i="30"/>
  <c r="U32" i="30"/>
  <c r="O32" i="30"/>
  <c r="I32" i="30"/>
  <c r="J32" i="30"/>
  <c r="L32" i="30"/>
  <c r="E32" i="30"/>
  <c r="G32" i="30"/>
  <c r="F32" i="30"/>
  <c r="H32" i="30"/>
  <c r="S30" i="30"/>
  <c r="P30" i="30"/>
  <c r="W30" i="30"/>
  <c r="V30" i="30"/>
  <c r="N30" i="30"/>
  <c r="T30" i="30"/>
  <c r="O30" i="30"/>
  <c r="M30" i="30"/>
  <c r="X30" i="30"/>
  <c r="R30" i="30"/>
  <c r="Q30" i="30"/>
  <c r="U30" i="30"/>
  <c r="H30" i="30"/>
  <c r="J30" i="30"/>
  <c r="L30" i="30"/>
  <c r="E30" i="30"/>
  <c r="K30" i="30"/>
  <c r="F30" i="30"/>
  <c r="G30" i="30"/>
  <c r="I30" i="30"/>
  <c r="N21" i="30"/>
  <c r="N13" i="30"/>
  <c r="N17" i="30"/>
  <c r="N18" i="30"/>
  <c r="N15" i="30"/>
  <c r="N16" i="30"/>
  <c r="R22" i="30"/>
  <c r="M22" i="30"/>
  <c r="T22" i="30"/>
  <c r="O22" i="30"/>
  <c r="P22" i="30"/>
  <c r="Q22" i="30"/>
  <c r="X22" i="30"/>
  <c r="W22" i="30"/>
  <c r="U22" i="30"/>
  <c r="S22" i="30"/>
  <c r="N22" i="30"/>
  <c r="V22" i="30"/>
  <c r="H22" i="30"/>
  <c r="E22" i="30"/>
  <c r="F22" i="30"/>
  <c r="L22" i="30"/>
  <c r="G22" i="30"/>
  <c r="I22" i="30"/>
  <c r="J22" i="30"/>
  <c r="K22" i="30"/>
  <c r="K32" i="30"/>
  <c r="R16" i="28" l="1"/>
  <c r="Q24" i="28"/>
  <c r="F30" i="28"/>
  <c r="Z10" i="28" s="1"/>
  <c r="J3" i="30"/>
  <c r="R24" i="28" l="1"/>
  <c r="S16" i="28"/>
  <c r="G7" i="30"/>
  <c r="G8" i="30"/>
  <c r="H6" i="30"/>
  <c r="G5" i="30"/>
  <c r="H5" i="30"/>
  <c r="H7" i="30"/>
  <c r="H8" i="30"/>
  <c r="H4" i="30"/>
  <c r="G6" i="30"/>
  <c r="G4" i="30"/>
  <c r="S24" i="28" l="1"/>
  <c r="T16" i="28"/>
  <c r="T24" i="28" l="1"/>
  <c r="U16" i="28"/>
  <c r="V16" i="28" l="1"/>
  <c r="U24" i="28"/>
  <c r="W16" i="28" l="1"/>
  <c r="V24" i="28"/>
  <c r="W24" i="28" l="1"/>
  <c r="X16" i="28"/>
  <c r="Y16" i="28" l="1"/>
  <c r="Y24" i="28" s="1"/>
  <c r="X24" i="28"/>
</calcChain>
</file>

<file path=xl/sharedStrings.xml><?xml version="1.0" encoding="utf-8"?>
<sst xmlns="http://schemas.openxmlformats.org/spreadsheetml/2006/main" count="4789" uniqueCount="252">
  <si>
    <t>http://www.ozarkwoodworker.com/images/AdPhotos/nardiniad.jpg</t>
  </si>
  <si>
    <t>http://www.diy600.net/</t>
  </si>
  <si>
    <t>Fresadora</t>
  </si>
  <si>
    <t>Inyectora</t>
  </si>
  <si>
    <t>http://img.directindustry.com/images_di/photo-g/bi-material-vertical-hydraulic-injection-molding-machines-7260-6820657.jpg</t>
  </si>
  <si>
    <t>http://www.ozarkwoodworker.com/images/adphotos5/rf30ad.gif</t>
  </si>
  <si>
    <t>Taladro</t>
  </si>
  <si>
    <t>http://www.instron.us/fileuniverse/live/images/Accessories/M3-SF16_D.jpg</t>
  </si>
  <si>
    <t>Horno</t>
  </si>
  <si>
    <t>http://eurolocarno.es/imagenes/2005/5/impresora-escaner-fotocopiadora-y-maquina-de-fax-en-un-solo-aparato.jpg</t>
  </si>
  <si>
    <t>Costura</t>
  </si>
  <si>
    <t>http://jmfitempresas.com/content/themes/DynamiX/lib/scripts/timthumb.php?src=http://jmfitempresas.com/content/uploads/2012/01/movimientos-trabajo-repetitivo.jpg&amp;h=374&amp;w=354&amp;zc=0</t>
  </si>
  <si>
    <t>Soldadura</t>
  </si>
  <si>
    <t>http://4.bp.blogspot.com/-IcDFxWMhb-s/Ua5RNR3PfiI/AAAAAAAACso/6ICx9KCIhTE/s1600/Postura+correcta+II.png</t>
  </si>
  <si>
    <t>http://training.itcilo.it/actrav_cdrom2/es/osh/hazard/4-8.jpg</t>
  </si>
  <si>
    <t>Torno</t>
  </si>
  <si>
    <t>http://www.bibliocad.com/library/man-working-on-desk-with-computer_7139</t>
  </si>
  <si>
    <t>http://www.bibliocad.com/library/persons-seats_33840#</t>
  </si>
  <si>
    <t>Almacenaje.PT</t>
  </si>
  <si>
    <t>http://dc705.4shared.com/doc/HHWYTQLP/preview_html_m3e58bc23.png</t>
  </si>
  <si>
    <t>EstacionGenerica</t>
  </si>
  <si>
    <t>http://www.packerskromer.com/Spanish/workstation.gif</t>
  </si>
  <si>
    <t>ID imagen</t>
  </si>
  <si>
    <t>Fuente</t>
  </si>
  <si>
    <t>Inventario.MP</t>
  </si>
  <si>
    <t>http://www.gsnc.org/_newstemplate/GirlPrograms/images/inventory_000.jpg</t>
  </si>
  <si>
    <t>http://images.clipartlogo.com/files/images/40/405705/rail-polishing-machine-clip-art_f.jpg</t>
  </si>
  <si>
    <t>Pulidora</t>
  </si>
  <si>
    <t>Template - Servidores por estación de trabajo</t>
  </si>
  <si>
    <t>Oficina.Escritorio</t>
  </si>
  <si>
    <t>Empaque</t>
  </si>
  <si>
    <t>Oficina.SalaEspera</t>
  </si>
  <si>
    <t>LISTAS MAESTRAS - ESTACIONES &amp; MÁQUINAS</t>
  </si>
  <si>
    <t>PARÁMETROS - ESTACIONES &amp; MÁQUINAS</t>
  </si>
  <si>
    <t>CÓDIGO ALGORITMO GENÉTICO</t>
  </si>
  <si>
    <t>RESULTADOS CONFIGURACIÓN ESTACIONES &amp; LAYOUT</t>
  </si>
  <si>
    <t>Total
Estaciones:</t>
  </si>
  <si>
    <t>Estaciones activas:</t>
  </si>
  <si>
    <t>Nombre estación</t>
  </si>
  <si>
    <t>Activa</t>
  </si>
  <si>
    <t>Inactiva</t>
  </si>
  <si>
    <t>Activacion</t>
  </si>
  <si>
    <t>Activa/Inactiva</t>
  </si>
  <si>
    <t>Estación torneado</t>
  </si>
  <si>
    <t>Estación pulido</t>
  </si>
  <si>
    <t>Estación fresado</t>
  </si>
  <si>
    <t>Estación limado</t>
  </si>
  <si>
    <t>Estación empaque</t>
  </si>
  <si>
    <t>Bodega materia prima</t>
  </si>
  <si>
    <t>Bodega producto terminado</t>
  </si>
  <si>
    <t>Estación inspección</t>
  </si>
  <si>
    <t>Total
Servidores asignados:</t>
  </si>
  <si>
    <t>Servidores activos:</t>
  </si>
  <si>
    <t>Nombre servidor</t>
  </si>
  <si>
    <t>Limadora</t>
  </si>
  <si>
    <t>Empacador</t>
  </si>
  <si>
    <t>Servidor inspección</t>
  </si>
  <si>
    <t>Icono seleccionado</t>
  </si>
  <si>
    <t>Iconos</t>
  </si>
  <si>
    <t>Oficina.Impresora</t>
  </si>
  <si>
    <t>Oficina.Salaespera</t>
  </si>
  <si>
    <t>Icono.Torno</t>
  </si>
  <si>
    <t>Icono.Pulidora</t>
  </si>
  <si>
    <t>Icono.Fresadora</t>
  </si>
  <si>
    <t>Icono.Empaque</t>
  </si>
  <si>
    <t>Icono.Inventario.MP</t>
  </si>
  <si>
    <t>Icono.EstacionGenerica</t>
  </si>
  <si>
    <t>Icono.Almacenaje.PT</t>
  </si>
  <si>
    <t>Bodega A</t>
  </si>
  <si>
    <t>Bodega B</t>
  </si>
  <si>
    <t>Navegador</t>
  </si>
  <si>
    <t>Estaciones</t>
  </si>
  <si>
    <t>Templates</t>
  </si>
  <si>
    <t>Fuentes imágenes</t>
  </si>
  <si>
    <t>Listados</t>
  </si>
  <si>
    <t>Nombre Hojas</t>
  </si>
  <si>
    <t>Servidores</t>
  </si>
  <si>
    <t>Hoja activa</t>
  </si>
  <si>
    <t>APLICACIÓN PARA FACILITY LAYOUT PLANNING - Versión 1.0</t>
  </si>
  <si>
    <t>HOJAS AUXILIARES</t>
  </si>
  <si>
    <t>A</t>
  </si>
  <si>
    <t>Ancho (m)</t>
  </si>
  <si>
    <t>Largo (m)</t>
  </si>
  <si>
    <t>Estaciones con dimension asignada:</t>
  </si>
  <si>
    <t>Símbolo</t>
  </si>
  <si>
    <t>Relación de proximidad</t>
  </si>
  <si>
    <t>E</t>
  </si>
  <si>
    <t>I</t>
  </si>
  <si>
    <t>O</t>
  </si>
  <si>
    <t>U</t>
  </si>
  <si>
    <t>X</t>
  </si>
  <si>
    <t>Proximidad: muy importante</t>
  </si>
  <si>
    <t>Proximidad: esencial</t>
  </si>
  <si>
    <t>Proximidad: importante</t>
  </si>
  <si>
    <t>Proximidad: normal</t>
  </si>
  <si>
    <t>Proximidad: indiferente</t>
  </si>
  <si>
    <t>Proximidad: no deseable</t>
  </si>
  <si>
    <t>MATRIZ PROXIMIDAD</t>
  </si>
  <si>
    <t>Matriz de proximidad</t>
  </si>
  <si>
    <t>Tráfico máximo x unidad</t>
  </si>
  <si>
    <t xml:space="preserve">Desde.. </t>
  </si>
  <si>
    <t>..hasta</t>
  </si>
  <si>
    <t>Nulo</t>
  </si>
  <si>
    <t>Bajo</t>
  </si>
  <si>
    <t>Muy bajo</t>
  </si>
  <si>
    <t>Medio</t>
  </si>
  <si>
    <t>Alto</t>
  </si>
  <si>
    <t>Muy alto</t>
  </si>
  <si>
    <t>Tráfico de producto</t>
  </si>
  <si>
    <t>Estación reproceso</t>
  </si>
  <si>
    <t>Matriz de tráfico</t>
  </si>
  <si>
    <t>Flujo de producto</t>
  </si>
  <si>
    <t>Peso unitario (kg.)</t>
  </si>
  <si>
    <t>Accesibilidad*</t>
  </si>
  <si>
    <t>* Número de lados accesibles de las máquinas al trabajo</t>
  </si>
  <si>
    <t>Accesibilidad</t>
  </si>
  <si>
    <t>Tasa de proceso &amp; eficiencia</t>
  </si>
  <si>
    <t>Tasa de proceso</t>
  </si>
  <si>
    <t>% eficiencia</t>
  </si>
  <si>
    <t>Estaciones con % eficiencia asignada:</t>
  </si>
  <si>
    <t>Dimensiones Layout</t>
  </si>
  <si>
    <t>Throughput total esperado</t>
  </si>
  <si>
    <t>Throughput Total</t>
  </si>
  <si>
    <t>% ocupación &amp; balance de línea</t>
  </si>
  <si>
    <t>Tiempo proceso efectivo</t>
  </si>
  <si>
    <t>Tasa 
efectiva</t>
  </si>
  <si>
    <t>Número de servidores</t>
  </si>
  <si>
    <t>% 
ocupación</t>
  </si>
  <si>
    <t>Superficie total</t>
  </si>
  <si>
    <t>Superficie
estática</t>
  </si>
  <si>
    <t>Superficie
de gravitación</t>
  </si>
  <si>
    <t>Superficie
de evolución</t>
  </si>
  <si>
    <t>Tipo de industria</t>
  </si>
  <si>
    <t>Valor de K
promedio</t>
  </si>
  <si>
    <t>Gran industria</t>
  </si>
  <si>
    <t>Alimentación</t>
  </si>
  <si>
    <t>Textil - hilado</t>
  </si>
  <si>
    <t>Textil - tejido</t>
  </si>
  <si>
    <t>Relojería - Joyería</t>
  </si>
  <si>
    <t>Trabajo con transportador mecánico</t>
  </si>
  <si>
    <t>Pequeña mecánica</t>
  </si>
  <si>
    <t>Industria mecánica</t>
  </si>
  <si>
    <t>Otra categoría</t>
  </si>
  <si>
    <t>Tipo industria</t>
  </si>
  <si>
    <t>Coeficiente  superficie de evolución</t>
  </si>
  <si>
    <t>Parámetros Servidores</t>
  </si>
  <si>
    <t>Proporción largo:ancho</t>
  </si>
  <si>
    <t>Ancho estimado 
estación (m)</t>
  </si>
  <si>
    <t>Largo estimado 
estación (m)</t>
  </si>
  <si>
    <t># servidores
por estación</t>
  </si>
  <si>
    <t>Sup. gravitación &amp; evolución</t>
  </si>
  <si>
    <t>ID Estación</t>
  </si>
  <si>
    <t>Área total requerida:</t>
  </si>
  <si>
    <t>Área total disponible:</t>
  </si>
  <si>
    <t>Status problema:</t>
  </si>
  <si>
    <t>Tráfico máximo x hora</t>
  </si>
  <si>
    <t>Elemento # 1</t>
  </si>
  <si>
    <t>Elemento # 2</t>
  </si>
  <si>
    <t>Elemento # 3</t>
  </si>
  <si>
    <t>Elemento # 4</t>
  </si>
  <si>
    <t>Elemento # 5</t>
  </si>
  <si>
    <t>Elemento # 6</t>
  </si>
  <si>
    <t>Elemento # 7</t>
  </si>
  <si>
    <t>Elemento # 8</t>
  </si>
  <si>
    <t>Elemento # 9</t>
  </si>
  <si>
    <t>Elemento # 10</t>
  </si>
  <si>
    <t>Elemento # 11</t>
  </si>
  <si>
    <t>Elemento # 12</t>
  </si>
  <si>
    <t>Elemento # 13</t>
  </si>
  <si>
    <t>Elemento # 14</t>
  </si>
  <si>
    <t>Elemento # 15</t>
  </si>
  <si>
    <t>Elemento # 16</t>
  </si>
  <si>
    <t>Elemento # 17</t>
  </si>
  <si>
    <t>Elemento # 18</t>
  </si>
  <si>
    <t>Elemento # 19</t>
  </si>
  <si>
    <t>Elemento # 20</t>
  </si>
  <si>
    <t>R</t>
  </si>
  <si>
    <t>Elementos activos:</t>
  </si>
  <si>
    <t>Posición-R</t>
  </si>
  <si>
    <t>Posibilidades a evaluar:</t>
  </si>
  <si>
    <t>X1</t>
  </si>
  <si>
    <t>Y1</t>
  </si>
  <si>
    <t>X2</t>
  </si>
  <si>
    <t>Y2</t>
  </si>
  <si>
    <t>X3</t>
  </si>
  <si>
    <t>Y3</t>
  </si>
  <si>
    <t>X4</t>
  </si>
  <si>
    <t>Y4</t>
  </si>
  <si>
    <t>Coordenada Centroide Xo</t>
  </si>
  <si>
    <t>Coordenada Centroide Yo</t>
  </si>
  <si>
    <t>Layout solución (individuo AG)</t>
  </si>
  <si>
    <t>Parámetro</t>
  </si>
  <si>
    <t>No. de invididuos (P)</t>
  </si>
  <si>
    <t>No. de generaciones (G)</t>
  </si>
  <si>
    <t>Tasa de mutación (MR)</t>
  </si>
  <si>
    <t>Tasa de cruce (CR)</t>
  </si>
  <si>
    <t>Algoritmo de cruce</t>
  </si>
  <si>
    <t>PMX</t>
  </si>
  <si>
    <t>Configuración AG</t>
  </si>
  <si>
    <t>Bahía</t>
  </si>
  <si>
    <t>Servidor</t>
  </si>
  <si>
    <t>Icono servidor</t>
  </si>
  <si>
    <t>No. de servidores</t>
  </si>
  <si>
    <t>Acumulado</t>
  </si>
  <si>
    <t>Ancho bahía</t>
  </si>
  <si>
    <t>Acumulado bahías</t>
  </si>
  <si>
    <t>Xo</t>
  </si>
  <si>
    <t>Yo</t>
  </si>
  <si>
    <t>Distancia recorrida</t>
  </si>
  <si>
    <t>Distancia máxima</t>
  </si>
  <si>
    <t>Nula</t>
  </si>
  <si>
    <t>Muy baja</t>
  </si>
  <si>
    <t>Baja</t>
  </si>
  <si>
    <t>Media</t>
  </si>
  <si>
    <t>Alta</t>
  </si>
  <si>
    <t>Muy alta</t>
  </si>
  <si>
    <t>F. objetivo (costo tráfico/hora)</t>
  </si>
  <si>
    <t>Costo unitario por metro recorrido</t>
  </si>
  <si>
    <t>Matriz de distancias</t>
  </si>
  <si>
    <t>Layout a evaluar</t>
  </si>
  <si>
    <t>Layout generado - R</t>
  </si>
  <si>
    <t>1° posición (Esquina N-W)</t>
  </si>
  <si>
    <t>2° posición</t>
  </si>
  <si>
    <t>…</t>
  </si>
  <si>
    <t/>
  </si>
  <si>
    <t>Número de invididuos (P)</t>
  </si>
  <si>
    <t>Generación No. (g)</t>
  </si>
  <si>
    <t># individuo</t>
  </si>
  <si>
    <t>F.O.</t>
  </si>
  <si>
    <t>Población</t>
  </si>
  <si>
    <t>Valor F.O. promedio generación actual</t>
  </si>
  <si>
    <t>Valor F.O. 
Mejor solución</t>
  </si>
  <si>
    <t># Generación</t>
  </si>
  <si>
    <t>Valor promedio F.O.</t>
  </si>
  <si>
    <t>Mejor valor obtenido F.O.</t>
  </si>
  <si>
    <t>Histórico resultados</t>
  </si>
  <si>
    <t>Padre A</t>
  </si>
  <si>
    <t>Padre B</t>
  </si>
  <si>
    <t>Posición</t>
  </si>
  <si>
    <t>Padre A (codificado)</t>
  </si>
  <si>
    <t>Padre B (codificado)</t>
  </si>
  <si>
    <t>Hijo A (codificado)</t>
  </si>
  <si>
    <t>Hijo B (codificado)</t>
  </si>
  <si>
    <t>Elementos asignados A</t>
  </si>
  <si>
    <t>Elementos asignados B</t>
  </si>
  <si>
    <t>Elementos activos</t>
  </si>
  <si>
    <t>Posición corte 1</t>
  </si>
  <si>
    <t>Posición corte 2</t>
  </si>
  <si>
    <t>Total cruces</t>
  </si>
  <si>
    <t>Cruce</t>
  </si>
  <si>
    <t>Población (New)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</si>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</sst>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0.0\ &quot;kg.&quot;"/>
    <numFmt numFmtId="165" formatCode="0.0\ &quot;Kg.&quot;"/>
    <numFmt numFmtId="166" formatCode="0\ &quot;lado(s)&quot;"/>
    <numFmt numFmtId="167" formatCode="0.00\ &quot;unidades/hora&quot;"/>
    <numFmt numFmtId="168" formatCode="0.00\ &quot;minutos&quot;"/>
    <numFmt numFmtId="169" formatCode="0.00\ &quot;m2&quot;"/>
    <numFmt numFmtId="170" formatCode="0.00\ &quot;m&quot;"/>
    <numFmt numFmtId="171" formatCode="&quot;bahía&quot;\ 0"/>
    <numFmt numFmtId="172" formatCode="0.00\ &quot;m/und&quot;"/>
    <numFmt numFmtId="173" formatCode="0.00\ &quot;$/m*und&quot;"/>
    <numFmt numFmtId="174" formatCode="_(&quot;$&quot;\ * #,##0.00_)&quot;/hora&quot;;_(&quot;$&quot;\ * \(#,##0.00\)&quot;/hora&quot;;_(&quot;$&quot;\ * &quot;-&quot;_);_(@_)&quot;/hora&quot;"/>
    <numFmt numFmtId="175" formatCode="&quot;Elemento #&quot;\ 0"/>
    <numFmt numFmtId="176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3"/>
      <color theme="1"/>
      <name val="Verdana"/>
      <family val="2"/>
    </font>
    <font>
      <sz val="11"/>
      <color theme="1"/>
      <name val="Calibri"/>
      <family val="2"/>
      <scheme val="minor"/>
    </font>
    <font>
      <sz val="8"/>
      <color theme="0"/>
      <name val="Verdana"/>
      <family val="2"/>
    </font>
    <font>
      <sz val="7"/>
      <color theme="1"/>
      <name val="Verdana"/>
      <family val="2"/>
    </font>
    <font>
      <sz val="7.5"/>
      <color theme="1"/>
      <name val="Verdana"/>
      <family val="2"/>
    </font>
    <font>
      <sz val="7.5"/>
      <color theme="0"/>
      <name val="Verdana"/>
      <family val="2"/>
    </font>
    <font>
      <b/>
      <sz val="7.5"/>
      <color theme="1"/>
      <name val="Verdana"/>
      <family val="2"/>
    </font>
    <font>
      <sz val="7.5"/>
      <name val="Verdana"/>
      <family val="2"/>
    </font>
    <font>
      <i/>
      <sz val="8"/>
      <color theme="1"/>
      <name val="Verdana"/>
      <family val="2"/>
    </font>
    <font>
      <b/>
      <sz val="7"/>
      <color theme="1"/>
      <name val="Verdana"/>
      <family val="2"/>
    </font>
    <font>
      <b/>
      <sz val="9"/>
      <color theme="1"/>
      <name val="Verdana"/>
      <family val="2"/>
    </font>
    <font>
      <b/>
      <i/>
      <sz val="16"/>
      <color theme="1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81">
    <xf numFmtId="0" fontId="0" fillId="0" borderId="0" xfId="0"/>
    <xf numFmtId="0" fontId="0" fillId="0" borderId="1" xfId="0" applyBorder="1"/>
    <xf numFmtId="0" fontId="2" fillId="0" borderId="2" xfId="1" applyBorder="1"/>
    <xf numFmtId="0" fontId="0" fillId="0" borderId="3" xfId="0" applyBorder="1"/>
    <xf numFmtId="0" fontId="2" fillId="0" borderId="4" xfId="1" applyBorder="1"/>
    <xf numFmtId="0" fontId="0" fillId="0" borderId="5" xfId="0" applyBorder="1"/>
    <xf numFmtId="0" fontId="2" fillId="0" borderId="6" xfId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0" fillId="0" borderId="20" xfId="0" applyBorder="1"/>
    <xf numFmtId="0" fontId="7" fillId="2" borderId="21" xfId="0" applyFont="1" applyFill="1" applyBorder="1" applyAlignment="1">
      <alignment horizontal="center"/>
    </xf>
    <xf numFmtId="0" fontId="0" fillId="2" borderId="0" xfId="0" applyFill="1" applyAlignment="1"/>
    <xf numFmtId="0" fontId="0" fillId="2" borderId="0" xfId="0" applyFill="1"/>
    <xf numFmtId="0" fontId="9" fillId="0" borderId="0" xfId="0" applyFont="1"/>
    <xf numFmtId="0" fontId="9" fillId="0" borderId="0" xfId="0" applyFont="1" applyAlignment="1">
      <alignment vertical="center"/>
    </xf>
    <xf numFmtId="1" fontId="6" fillId="4" borderId="21" xfId="0" applyNumberFormat="1" applyFont="1" applyFill="1" applyBorder="1" applyAlignment="1">
      <alignment horizontal="left"/>
    </xf>
    <xf numFmtId="1" fontId="6" fillId="9" borderId="21" xfId="0" applyNumberFormat="1" applyFont="1" applyFill="1" applyBorder="1" applyAlignment="1">
      <alignment horizontal="left" indent="1"/>
    </xf>
    <xf numFmtId="0" fontId="7" fillId="9" borderId="21" xfId="0" applyFont="1" applyFill="1" applyBorder="1" applyAlignment="1">
      <alignment horizontal="left" vertical="center" indent="1"/>
    </xf>
    <xf numFmtId="0" fontId="7" fillId="9" borderId="21" xfId="0" applyFont="1" applyFill="1" applyBorder="1" applyAlignment="1">
      <alignment horizontal="left" indent="1"/>
    </xf>
    <xf numFmtId="1" fontId="6" fillId="9" borderId="21" xfId="0" applyNumberFormat="1" applyFont="1" applyFill="1" applyBorder="1"/>
    <xf numFmtId="0" fontId="3" fillId="5" borderId="0" xfId="0" applyFont="1" applyFill="1" applyBorder="1"/>
    <xf numFmtId="0" fontId="0" fillId="5" borderId="0" xfId="0" applyFill="1" applyBorder="1"/>
    <xf numFmtId="0" fontId="0" fillId="3" borderId="0" xfId="0" applyFill="1" applyBorder="1"/>
    <xf numFmtId="0" fontId="0" fillId="6" borderId="0" xfId="0" applyFill="1" applyBorder="1"/>
    <xf numFmtId="0" fontId="0" fillId="8" borderId="0" xfId="0" applyFill="1" applyBorder="1"/>
    <xf numFmtId="0" fontId="3" fillId="3" borderId="0" xfId="0" applyFont="1" applyFill="1" applyAlignment="1">
      <alignment horizontal="center"/>
    </xf>
    <xf numFmtId="0" fontId="6" fillId="4" borderId="0" xfId="0" applyFont="1" applyFill="1"/>
    <xf numFmtId="1" fontId="6" fillId="4" borderId="21" xfId="0" applyNumberFormat="1" applyFont="1" applyFill="1" applyBorder="1" applyAlignment="1">
      <alignment horizontal="left" indent="1"/>
    </xf>
    <xf numFmtId="43" fontId="6" fillId="9" borderId="21" xfId="2" applyFont="1" applyFill="1" applyBorder="1" applyAlignment="1">
      <alignment horizontal="left" indent="1"/>
    </xf>
    <xf numFmtId="43" fontId="7" fillId="9" borderId="21" xfId="2" applyFont="1" applyFill="1" applyBorder="1" applyAlignment="1">
      <alignment horizontal="left" indent="1"/>
    </xf>
    <xf numFmtId="1" fontId="6" fillId="4" borderId="21" xfId="0" applyNumberFormat="1" applyFont="1" applyFill="1" applyBorder="1"/>
    <xf numFmtId="1" fontId="6" fillId="10" borderId="21" xfId="0" applyNumberFormat="1" applyFont="1" applyFill="1" applyBorder="1"/>
    <xf numFmtId="1" fontId="6" fillId="5" borderId="21" xfId="0" applyNumberFormat="1" applyFont="1" applyFill="1" applyBorder="1"/>
    <xf numFmtId="1" fontId="6" fillId="11" borderId="21" xfId="0" applyNumberFormat="1" applyFont="1" applyFill="1" applyBorder="1"/>
    <xf numFmtId="1" fontId="12" fillId="12" borderId="21" xfId="0" applyNumberFormat="1" applyFont="1" applyFill="1" applyBorder="1"/>
    <xf numFmtId="1" fontId="15" fillId="12" borderId="21" xfId="0" applyNumberFormat="1" applyFont="1" applyFill="1" applyBorder="1"/>
    <xf numFmtId="1" fontId="14" fillId="10" borderId="21" xfId="0" applyNumberFormat="1" applyFont="1" applyFill="1" applyBorder="1"/>
    <xf numFmtId="1" fontId="14" fillId="5" borderId="21" xfId="0" applyNumberFormat="1" applyFont="1" applyFill="1" applyBorder="1"/>
    <xf numFmtId="1" fontId="14" fillId="11" borderId="21" xfId="0" applyNumberFormat="1" applyFont="1" applyFill="1" applyBorder="1"/>
    <xf numFmtId="1" fontId="14" fillId="4" borderId="21" xfId="0" applyNumberFormat="1" applyFont="1" applyFill="1" applyBorder="1"/>
    <xf numFmtId="43" fontId="13" fillId="9" borderId="21" xfId="2" applyFont="1" applyFill="1" applyBorder="1" applyAlignment="1">
      <alignment vertical="center"/>
    </xf>
    <xf numFmtId="1" fontId="15" fillId="13" borderId="21" xfId="0" applyNumberFormat="1" applyFont="1" applyFill="1" applyBorder="1"/>
    <xf numFmtId="43" fontId="13" fillId="2" borderId="21" xfId="2" applyFont="1" applyFill="1" applyBorder="1" applyAlignment="1">
      <alignment vertical="center"/>
    </xf>
    <xf numFmtId="1" fontId="14" fillId="3" borderId="21" xfId="0" applyNumberFormat="1" applyFont="1" applyFill="1" applyBorder="1" applyAlignment="1">
      <alignment horizontal="left"/>
    </xf>
    <xf numFmtId="1" fontId="14" fillId="3" borderId="21" xfId="0" applyNumberFormat="1" applyFont="1" applyFill="1" applyBorder="1" applyAlignment="1">
      <alignment horizontal="center" vertical="center"/>
    </xf>
    <xf numFmtId="1" fontId="6" fillId="9" borderId="21" xfId="0" applyNumberFormat="1" applyFont="1" applyFill="1" applyBorder="1" applyAlignment="1">
      <alignment horizontal="center"/>
    </xf>
    <xf numFmtId="0" fontId="18" fillId="3" borderId="0" xfId="0" applyFont="1" applyFill="1" applyAlignment="1">
      <alignment horizontal="center" vertical="center" wrapText="1"/>
    </xf>
    <xf numFmtId="165" fontId="19" fillId="2" borderId="21" xfId="0" applyNumberFormat="1" applyFont="1" applyFill="1" applyBorder="1" applyAlignment="1">
      <alignment horizontal="center"/>
    </xf>
    <xf numFmtId="0" fontId="20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 wrapText="1"/>
    </xf>
    <xf numFmtId="9" fontId="6" fillId="9" borderId="21" xfId="4" applyFont="1" applyFill="1" applyBorder="1" applyAlignment="1">
      <alignment horizontal="center"/>
    </xf>
    <xf numFmtId="9" fontId="17" fillId="2" borderId="21" xfId="4" applyFont="1" applyFill="1" applyBorder="1"/>
    <xf numFmtId="9" fontId="14" fillId="3" borderId="21" xfId="4" applyFont="1" applyFill="1" applyBorder="1"/>
    <xf numFmtId="9" fontId="14" fillId="11" borderId="21" xfId="4" applyFont="1" applyFill="1" applyBorder="1"/>
    <xf numFmtId="9" fontId="14" fillId="5" borderId="21" xfId="4" applyFont="1" applyFill="1" applyBorder="1"/>
    <xf numFmtId="9" fontId="14" fillId="10" borderId="21" xfId="4" applyFont="1" applyFill="1" applyBorder="1"/>
    <xf numFmtId="9" fontId="15" fillId="12" borderId="21" xfId="4" applyFont="1" applyFill="1" applyBorder="1"/>
    <xf numFmtId="9" fontId="13" fillId="9" borderId="21" xfId="4" applyFont="1" applyFill="1" applyBorder="1" applyAlignment="1">
      <alignment horizontal="center" vertical="center"/>
    </xf>
    <xf numFmtId="9" fontId="0" fillId="0" borderId="0" xfId="4" applyFont="1"/>
    <xf numFmtId="164" fontId="6" fillId="9" borderId="21" xfId="4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6" fontId="6" fillId="9" borderId="21" xfId="2" applyNumberFormat="1" applyFont="1" applyFill="1" applyBorder="1" applyAlignment="1">
      <alignment horizontal="left" indent="1"/>
    </xf>
    <xf numFmtId="166" fontId="6" fillId="9" borderId="21" xfId="0" applyNumberFormat="1" applyFont="1" applyFill="1" applyBorder="1"/>
    <xf numFmtId="0" fontId="5" fillId="0" borderId="0" xfId="0" applyFont="1" applyFill="1" applyBorder="1" applyAlignment="1">
      <alignment vertical="center"/>
    </xf>
    <xf numFmtId="167" fontId="6" fillId="9" borderId="21" xfId="2" applyNumberFormat="1" applyFont="1" applyFill="1" applyBorder="1" applyAlignment="1">
      <alignment horizontal="left" indent="1"/>
    </xf>
    <xf numFmtId="167" fontId="7" fillId="9" borderId="21" xfId="2" applyNumberFormat="1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center" vertical="center" wrapText="1"/>
    </xf>
    <xf numFmtId="168" fontId="6" fillId="9" borderId="21" xfId="2" applyNumberFormat="1" applyFont="1" applyFill="1" applyBorder="1" applyAlignment="1">
      <alignment horizontal="left" indent="1"/>
    </xf>
    <xf numFmtId="10" fontId="6" fillId="9" borderId="21" xfId="4" applyNumberFormat="1" applyFont="1" applyFill="1" applyBorder="1" applyAlignment="1">
      <alignment horizontal="left" indent="2"/>
    </xf>
    <xf numFmtId="169" fontId="6" fillId="9" borderId="21" xfId="2" applyNumberFormat="1" applyFont="1" applyFill="1" applyBorder="1" applyAlignment="1">
      <alignment horizontal="left" inden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3" fontId="6" fillId="9" borderId="21" xfId="2" applyFont="1" applyFill="1" applyBorder="1"/>
    <xf numFmtId="0" fontId="5" fillId="0" borderId="0" xfId="0" applyFont="1" applyFill="1" applyBorder="1" applyAlignment="1">
      <alignment horizontal="left"/>
    </xf>
    <xf numFmtId="167" fontId="6" fillId="4" borderId="21" xfId="2" applyNumberFormat="1" applyFont="1" applyFill="1" applyBorder="1" applyAlignment="1">
      <alignment horizontal="left" indent="1"/>
    </xf>
    <xf numFmtId="0" fontId="5" fillId="0" borderId="0" xfId="0" applyFont="1" applyFill="1" applyBorder="1" applyAlignment="1">
      <alignment vertical="center" wrapText="1"/>
    </xf>
    <xf numFmtId="1" fontId="6" fillId="9" borderId="21" xfId="2" applyNumberFormat="1" applyFont="1" applyFill="1" applyBorder="1" applyAlignment="1">
      <alignment horizontal="center"/>
    </xf>
    <xf numFmtId="169" fontId="5" fillId="0" borderId="0" xfId="0" applyNumberFormat="1" applyFont="1" applyFill="1" applyBorder="1" applyAlignment="1">
      <alignment vertical="center"/>
    </xf>
    <xf numFmtId="167" fontId="17" fillId="2" borderId="21" xfId="4" applyNumberFormat="1" applyFont="1" applyFill="1" applyBorder="1"/>
    <xf numFmtId="167" fontId="14" fillId="3" borderId="21" xfId="4" applyNumberFormat="1" applyFont="1" applyFill="1" applyBorder="1"/>
    <xf numFmtId="167" fontId="14" fillId="11" borderId="21" xfId="4" applyNumberFormat="1" applyFont="1" applyFill="1" applyBorder="1"/>
    <xf numFmtId="167" fontId="14" fillId="5" borderId="21" xfId="4" applyNumberFormat="1" applyFont="1" applyFill="1" applyBorder="1"/>
    <xf numFmtId="167" fontId="14" fillId="10" borderId="21" xfId="4" applyNumberFormat="1" applyFont="1" applyFill="1" applyBorder="1"/>
    <xf numFmtId="167" fontId="15" fillId="12" borderId="21" xfId="4" applyNumberFormat="1" applyFont="1" applyFill="1" applyBorder="1"/>
    <xf numFmtId="167" fontId="6" fillId="9" borderId="21" xfId="4" applyNumberFormat="1" applyFont="1" applyFill="1" applyBorder="1" applyAlignment="1">
      <alignment horizontal="center"/>
    </xf>
    <xf numFmtId="0" fontId="6" fillId="0" borderId="0" xfId="0" applyFont="1"/>
    <xf numFmtId="0" fontId="19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Fill="1" applyBorder="1" applyAlignment="1">
      <alignment horizontal="right"/>
    </xf>
    <xf numFmtId="0" fontId="5" fillId="2" borderId="0" xfId="0" applyFont="1" applyFill="1" applyAlignment="1">
      <alignment horizontal="center" vertical="center"/>
    </xf>
    <xf numFmtId="0" fontId="6" fillId="0" borderId="20" xfId="0" applyFont="1" applyBorder="1"/>
    <xf numFmtId="170" fontId="14" fillId="0" borderId="0" xfId="0" applyNumberFormat="1" applyFont="1" applyAlignment="1">
      <alignment horizontal="center"/>
    </xf>
    <xf numFmtId="170" fontId="0" fillId="0" borderId="0" xfId="0" applyNumberFormat="1"/>
    <xf numFmtId="43" fontId="0" fillId="0" borderId="0" xfId="0" applyNumberFormat="1"/>
    <xf numFmtId="171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9" borderId="21" xfId="2" applyFont="1" applyFill="1" applyBorder="1" applyAlignment="1">
      <alignment horizontal="center"/>
    </xf>
    <xf numFmtId="170" fontId="6" fillId="9" borderId="21" xfId="2" applyNumberFormat="1" applyFont="1" applyFill="1" applyBorder="1" applyAlignment="1">
      <alignment horizontal="center"/>
    </xf>
    <xf numFmtId="170" fontId="0" fillId="0" borderId="0" xfId="0" applyNumberFormat="1" applyFill="1" applyAlignment="1">
      <alignment horizontal="center"/>
    </xf>
    <xf numFmtId="170" fontId="0" fillId="4" borderId="0" xfId="0" applyNumberFormat="1" applyFill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1" fontId="0" fillId="4" borderId="0" xfId="0" applyNumberFormat="1" applyFill="1" applyAlignment="1">
      <alignment horizontal="center" vertical="center"/>
    </xf>
    <xf numFmtId="172" fontId="17" fillId="2" borderId="21" xfId="4" applyNumberFormat="1" applyFont="1" applyFill="1" applyBorder="1"/>
    <xf numFmtId="172" fontId="14" fillId="3" borderId="21" xfId="4" applyNumberFormat="1" applyFont="1" applyFill="1" applyBorder="1"/>
    <xf numFmtId="172" fontId="14" fillId="11" borderId="21" xfId="4" applyNumberFormat="1" applyFont="1" applyFill="1" applyBorder="1"/>
    <xf numFmtId="172" fontId="14" fillId="5" borderId="21" xfId="4" applyNumberFormat="1" applyFont="1" applyFill="1" applyBorder="1"/>
    <xf numFmtId="172" fontId="14" fillId="10" borderId="21" xfId="4" applyNumberFormat="1" applyFont="1" applyFill="1" applyBorder="1"/>
    <xf numFmtId="172" fontId="15" fillId="12" borderId="21" xfId="4" applyNumberFormat="1" applyFont="1" applyFill="1" applyBorder="1"/>
    <xf numFmtId="172" fontId="7" fillId="2" borderId="21" xfId="2" applyNumberFormat="1" applyFont="1" applyFill="1" applyBorder="1" applyAlignment="1">
      <alignment horizontal="center"/>
    </xf>
    <xf numFmtId="172" fontId="6" fillId="9" borderId="21" xfId="4" applyNumberFormat="1" applyFont="1" applyFill="1" applyBorder="1" applyAlignment="1">
      <alignment horizontal="center"/>
    </xf>
    <xf numFmtId="173" fontId="6" fillId="9" borderId="21" xfId="2" applyNumberFormat="1" applyFont="1" applyFill="1" applyBorder="1" applyAlignment="1">
      <alignment horizontal="left" indent="1"/>
    </xf>
    <xf numFmtId="174" fontId="0" fillId="6" borderId="39" xfId="3" applyNumberFormat="1" applyFont="1" applyFill="1" applyBorder="1"/>
    <xf numFmtId="0" fontId="16" fillId="0" borderId="0" xfId="0" applyFont="1" applyAlignment="1">
      <alignment horizontal="center" vertical="center"/>
    </xf>
    <xf numFmtId="0" fontId="6" fillId="3" borderId="0" xfId="0" applyFont="1" applyFill="1" applyAlignment="1"/>
    <xf numFmtId="44" fontId="6" fillId="3" borderId="0" xfId="3" applyFont="1" applyFill="1" applyAlignment="1"/>
    <xf numFmtId="44" fontId="5" fillId="0" borderId="0" xfId="3" applyFont="1" applyFill="1" applyBorder="1" applyAlignment="1">
      <alignment horizontal="center"/>
    </xf>
    <xf numFmtId="44" fontId="6" fillId="0" borderId="0" xfId="3" applyFont="1"/>
    <xf numFmtId="1" fontId="18" fillId="2" borderId="0" xfId="0" applyNumberFormat="1" applyFont="1" applyFill="1" applyAlignment="1">
      <alignment horizontal="center" vertical="center"/>
    </xf>
    <xf numFmtId="44" fontId="6" fillId="2" borderId="0" xfId="0" applyNumberFormat="1" applyFont="1" applyFill="1" applyAlignment="1">
      <alignment horizontal="center" vertical="center"/>
    </xf>
    <xf numFmtId="44" fontId="6" fillId="2" borderId="0" xfId="3" applyFont="1" applyFill="1" applyAlignment="1">
      <alignment horizontal="center" vertical="center"/>
    </xf>
    <xf numFmtId="44" fontId="5" fillId="0" borderId="0" xfId="3" applyFont="1"/>
    <xf numFmtId="1" fontId="6" fillId="9" borderId="21" xfId="0" applyNumberFormat="1" applyFont="1" applyFill="1" applyBorder="1" applyAlignment="1">
      <alignment horizontal="center" vertical="center"/>
    </xf>
    <xf numFmtId="1" fontId="6" fillId="2" borderId="21" xfId="0" applyNumberFormat="1" applyFont="1" applyFill="1" applyBorder="1" applyAlignment="1">
      <alignment horizontal="center" vertical="center"/>
    </xf>
    <xf numFmtId="175" fontId="5" fillId="0" borderId="0" xfId="0" applyNumberFormat="1" applyFont="1" applyFill="1" applyBorder="1" applyAlignment="1">
      <alignment horizontal="center"/>
    </xf>
    <xf numFmtId="0" fontId="6" fillId="15" borderId="0" xfId="0" applyFont="1" applyFill="1"/>
    <xf numFmtId="0" fontId="6" fillId="14" borderId="39" xfId="0" applyFont="1" applyFill="1" applyBorder="1" applyAlignment="1">
      <alignment horizontal="center"/>
    </xf>
    <xf numFmtId="176" fontId="6" fillId="9" borderId="21" xfId="2" applyNumberFormat="1" applyFont="1" applyFill="1" applyBorder="1"/>
    <xf numFmtId="0" fontId="2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7" borderId="30" xfId="0" applyFill="1" applyBorder="1" applyAlignment="1">
      <alignment horizontal="center"/>
    </xf>
    <xf numFmtId="0" fontId="10" fillId="2" borderId="33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0" fillId="7" borderId="27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7" borderId="26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31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4" borderId="0" xfId="0" applyFill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166" fontId="6" fillId="2" borderId="36" xfId="0" applyNumberFormat="1" applyFont="1" applyFill="1" applyBorder="1" applyAlignment="1">
      <alignment horizontal="center"/>
    </xf>
    <xf numFmtId="166" fontId="6" fillId="2" borderId="22" xfId="0" applyNumberFormat="1" applyFont="1" applyFill="1" applyBorder="1" applyAlignment="1">
      <alignment horizontal="center"/>
    </xf>
    <xf numFmtId="166" fontId="6" fillId="2" borderId="20" xfId="0" applyNumberFormat="1" applyFont="1" applyFill="1" applyBorder="1" applyAlignment="1">
      <alignment horizontal="center"/>
    </xf>
    <xf numFmtId="166" fontId="6" fillId="2" borderId="23" xfId="0" applyNumberFormat="1" applyFont="1" applyFill="1" applyBorder="1" applyAlignment="1">
      <alignment horizontal="center"/>
    </xf>
    <xf numFmtId="166" fontId="6" fillId="2" borderId="37" xfId="0" applyNumberFormat="1" applyFont="1" applyFill="1" applyBorder="1" applyAlignment="1">
      <alignment horizontal="center"/>
    </xf>
    <xf numFmtId="166" fontId="6" fillId="2" borderId="38" xfId="0" applyNumberFormat="1" applyFont="1" applyFill="1" applyBorder="1" applyAlignment="1">
      <alignment horizontal="center"/>
    </xf>
  </cellXfs>
  <cellStyles count="5">
    <cellStyle name="Hipervínculo" xfId="1" builtinId="8"/>
    <cellStyle name="Millares" xfId="2" builtinId="3"/>
    <cellStyle name="Moneda" xfId="3" builtinId="4"/>
    <cellStyle name="Normal" xfId="0" builtinId="0"/>
    <cellStyle name="Porcentaje" xfId="4" builtinId="5"/>
  </cellStyles>
  <dxfs count="40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3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Fitness</a:t>
            </a:r>
            <a:r>
              <a:rPr lang="es-CO" baseline="0"/>
              <a:t> function (average &amp; minimum)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'Histórico resultados'!$B$2</c:f>
              <c:strCache>
                <c:ptCount val="1"/>
                <c:pt idx="0">
                  <c:v># Generación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'Histórico resultados'!$B$3:$B$22</c:f>
              <c:numCache>
                <c:formatCode>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'Histórico resultados'!$C$2</c:f>
              <c:strCache>
                <c:ptCount val="1"/>
                <c:pt idx="0">
                  <c:v>Valor promedio F.O.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'Histórico resultados'!$C$3:$C$22</c:f>
              <c:numCache>
                <c:formatCode>_("$"* #,##0.00_);_("$"* \(#,##0.00\);_("$"* "-"??_);_(@_)</c:formatCode>
                <c:ptCount val="20"/>
                <c:pt idx="0">
                  <c:v>483507.638125</c:v>
                </c:pt>
                <c:pt idx="1">
                  <c:v>439617.013125</c:v>
                </c:pt>
                <c:pt idx="2">
                  <c:v>426200.62624999997</c:v>
                </c:pt>
                <c:pt idx="3">
                  <c:v>412829.45500000002</c:v>
                </c:pt>
                <c:pt idx="4">
                  <c:v>390859.13312499999</c:v>
                </c:pt>
                <c:pt idx="5">
                  <c:v>394228.47562500002</c:v>
                </c:pt>
                <c:pt idx="6">
                  <c:v>367712.74125000002</c:v>
                </c:pt>
                <c:pt idx="7">
                  <c:v>325371.80312499998</c:v>
                </c:pt>
                <c:pt idx="8">
                  <c:v>311864.19</c:v>
                </c:pt>
                <c:pt idx="9">
                  <c:v>309424.59999999998</c:v>
                </c:pt>
                <c:pt idx="10">
                  <c:v>309202</c:v>
                </c:pt>
                <c:pt idx="11">
                  <c:v>309202</c:v>
                </c:pt>
                <c:pt idx="12">
                  <c:v>309202</c:v>
                </c:pt>
                <c:pt idx="13">
                  <c:v>309202</c:v>
                </c:pt>
                <c:pt idx="14">
                  <c:v>309202</c:v>
                </c:pt>
                <c:pt idx="15">
                  <c:v>309202</c:v>
                </c:pt>
                <c:pt idx="16">
                  <c:v>309202</c:v>
                </c:pt>
                <c:pt idx="17">
                  <c:v>309202</c:v>
                </c:pt>
                <c:pt idx="18">
                  <c:v>309202</c:v>
                </c:pt>
                <c:pt idx="19">
                  <c:v>309202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'Histórico resultados'!$D$2</c:f>
              <c:strCache>
                <c:ptCount val="1"/>
                <c:pt idx="0">
                  <c:v>Mejor valor obtenido F.O.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'Histórico resultados'!$D$3:$D$22</c:f>
              <c:numCache>
                <c:formatCode>_("$"* #,##0.00_);_("$"* \(#,##0.00\);_("$"* "-"??_);_(@_)</c:formatCode>
                <c:ptCount val="20"/>
                <c:pt idx="0">
                  <c:v>310261.99999999994</c:v>
                </c:pt>
                <c:pt idx="1">
                  <c:v>310261.99999999994</c:v>
                </c:pt>
                <c:pt idx="2">
                  <c:v>310261.99999999994</c:v>
                </c:pt>
                <c:pt idx="3">
                  <c:v>309202</c:v>
                </c:pt>
                <c:pt idx="4">
                  <c:v>309202</c:v>
                </c:pt>
                <c:pt idx="5">
                  <c:v>309202</c:v>
                </c:pt>
                <c:pt idx="6">
                  <c:v>309202</c:v>
                </c:pt>
                <c:pt idx="7">
                  <c:v>309202</c:v>
                </c:pt>
                <c:pt idx="8">
                  <c:v>309202</c:v>
                </c:pt>
                <c:pt idx="9">
                  <c:v>309202</c:v>
                </c:pt>
                <c:pt idx="10">
                  <c:v>309202</c:v>
                </c:pt>
                <c:pt idx="11">
                  <c:v>309202</c:v>
                </c:pt>
                <c:pt idx="12">
                  <c:v>309202</c:v>
                </c:pt>
                <c:pt idx="13">
                  <c:v>309202</c:v>
                </c:pt>
                <c:pt idx="14">
                  <c:v>309202</c:v>
                </c:pt>
                <c:pt idx="15">
                  <c:v>309202</c:v>
                </c:pt>
                <c:pt idx="16">
                  <c:v>309202</c:v>
                </c:pt>
                <c:pt idx="17">
                  <c:v>309202</c:v>
                </c:pt>
                <c:pt idx="18">
                  <c:v>309202</c:v>
                </c:pt>
                <c:pt idx="19">
                  <c:v>309202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736192"/>
        <c:axId val="351736752"/>
      </c:lineChart>
      <c:catAx>
        <c:axId val="3517361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51736752"/>
        <c:crosses val="autoZero"/>
        <c:auto val="1"/>
        <c:lblAlgn val="ctr"/>
        <c:lblOffset val="100"/>
        <c:noMultiLvlLbl val="0"/>
      </c:catAx>
      <c:valAx>
        <c:axId val="351736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51736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0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7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8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9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20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20.jpe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21.jpe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16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21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5" Type="http://schemas.openxmlformats.org/officeDocument/2006/relationships/chart" Target="../charts/chart1.xml"/><Relationship Id="rId4" Type="http://schemas.openxmlformats.org/officeDocument/2006/relationships/image" Target="../media/image22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2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21.jpe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30.jpeg"/><Relationship Id="rId13" Type="http://schemas.openxmlformats.org/officeDocument/2006/relationships/image" Target="../media/image34.gif"/><Relationship Id="rId18" Type="http://schemas.openxmlformats.org/officeDocument/2006/relationships/image" Target="../media/image9.png"/><Relationship Id="rId3" Type="http://schemas.openxmlformats.org/officeDocument/2006/relationships/image" Target="../media/image25.jpeg"/><Relationship Id="rId7" Type="http://schemas.openxmlformats.org/officeDocument/2006/relationships/image" Target="../media/image29.png"/><Relationship Id="rId12" Type="http://schemas.openxmlformats.org/officeDocument/2006/relationships/image" Target="../media/image33.png"/><Relationship Id="rId17" Type="http://schemas.openxmlformats.org/officeDocument/2006/relationships/image" Target="../media/image8.png"/><Relationship Id="rId2" Type="http://schemas.openxmlformats.org/officeDocument/2006/relationships/image" Target="../media/image24.jpeg"/><Relationship Id="rId16" Type="http://schemas.openxmlformats.org/officeDocument/2006/relationships/image" Target="../media/image1.png"/><Relationship Id="rId1" Type="http://schemas.openxmlformats.org/officeDocument/2006/relationships/image" Target="../media/image23.png"/><Relationship Id="rId6" Type="http://schemas.openxmlformats.org/officeDocument/2006/relationships/image" Target="../media/image28.png"/><Relationship Id="rId11" Type="http://schemas.openxmlformats.org/officeDocument/2006/relationships/image" Target="../media/image6.png"/><Relationship Id="rId5" Type="http://schemas.openxmlformats.org/officeDocument/2006/relationships/image" Target="../media/image27.gif"/><Relationship Id="rId15" Type="http://schemas.openxmlformats.org/officeDocument/2006/relationships/image" Target="../media/image36.jpeg"/><Relationship Id="rId10" Type="http://schemas.openxmlformats.org/officeDocument/2006/relationships/image" Target="../media/image32.png"/><Relationship Id="rId4" Type="http://schemas.openxmlformats.org/officeDocument/2006/relationships/image" Target="../media/image26.jpeg"/><Relationship Id="rId9" Type="http://schemas.openxmlformats.org/officeDocument/2006/relationships/image" Target="../media/image31.png"/><Relationship Id="rId14" Type="http://schemas.openxmlformats.org/officeDocument/2006/relationships/image" Target="../media/image35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4" Type="http://schemas.openxmlformats.org/officeDocument/2006/relationships/image" Target="../media/image3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271745</xdr:colOff>
      <xdr:row>29</xdr:row>
      <xdr:rowOff>39220</xdr:rowOff>
    </xdr:from>
    <xdr:to>
      <xdr:col>6</xdr:col>
      <xdr:colOff>123267</xdr:colOff>
      <xdr:row>34</xdr:row>
      <xdr:rowOff>78442</xdr:rowOff>
    </xdr:to>
    <xdr:grpSp>
      <xdr:nvGrpSpPr>
        <xdr:cNvPr id="11" name="90 Grupo"/>
        <xdr:cNvGrpSpPr/>
      </xdr:nvGrpSpPr>
      <xdr:grpSpPr>
        <a:xfrm>
          <a:off x="2380852" y="6121613"/>
          <a:ext cx="1375522" cy="991722"/>
          <a:chOff x="284884" y="245919"/>
          <a:chExt cx="2048672" cy="1449532"/>
        </a:xfrm>
      </xdr:grpSpPr>
      <xdr:pic macro="[0]!GoToIndividuoSolucion">
        <xdr:nvPicPr>
          <xdr:cNvPr id="12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FFFF0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IndividuoSolucion" textlink="">
        <xdr:nvSpPr>
          <xdr:cNvPr id="13" name="92 CuadroTexto"/>
          <xdr:cNvSpPr txBox="1"/>
        </xdr:nvSpPr>
        <xdr:spPr>
          <a:xfrm>
            <a:off x="517071" y="530676"/>
            <a:ext cx="1592034" cy="102266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 baseline="0">
                <a:solidFill>
                  <a:schemeClr val="bg1"/>
                </a:solidFill>
              </a:rPr>
              <a:t>Codificación individuo solución</a:t>
            </a:r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</xdr:col>
      <xdr:colOff>123825</xdr:colOff>
      <xdr:row>13</xdr:row>
      <xdr:rowOff>3924</xdr:rowOff>
    </xdr:from>
    <xdr:to>
      <xdr:col>3</xdr:col>
      <xdr:colOff>752475</xdr:colOff>
      <xdr:row>17</xdr:row>
      <xdr:rowOff>165848</xdr:rowOff>
    </xdr:to>
    <xdr:grpSp>
      <xdr:nvGrpSpPr>
        <xdr:cNvPr id="20" name="263 Grupo"/>
        <xdr:cNvGrpSpPr/>
      </xdr:nvGrpSpPr>
      <xdr:grpSpPr>
        <a:xfrm>
          <a:off x="708932" y="3038317"/>
          <a:ext cx="1390650" cy="923924"/>
          <a:chOff x="284884" y="245919"/>
          <a:chExt cx="2048672" cy="1449532"/>
        </a:xfrm>
      </xdr:grpSpPr>
      <xdr:pic macro="[0]!GoToParametrosServidores">
        <xdr:nvPicPr>
          <xdr:cNvPr id="21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chemeClr val="accent2">
                <a:tint val="45000"/>
                <a:satMod val="400000"/>
              </a:scheme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ln>
            <a:noFill/>
          </a:ln>
          <a:effectLst>
            <a:outerShdw blurRad="292100" dist="139700" dir="2700000" algn="tl" rotWithShape="0">
              <a:srgbClr val="333333">
                <a:alpha val="65000"/>
              </a:srgbClr>
            </a:outerShdw>
          </a:effectLst>
        </xdr:spPr>
      </xdr:pic>
      <xdr:sp macro="[0]!GoToParametrosServidores" textlink="">
        <xdr:nvSpPr>
          <xdr:cNvPr id="22" name="265 CuadroTexto"/>
          <xdr:cNvSpPr txBox="1"/>
        </xdr:nvSpPr>
        <xdr:spPr>
          <a:xfrm>
            <a:off x="517071" y="530677"/>
            <a:ext cx="1592035" cy="10302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Parámetros</a:t>
            </a:r>
          </a:p>
          <a:p>
            <a:pPr algn="r"/>
            <a:r>
              <a:rPr lang="es-CO" sz="1200" b="1">
                <a:solidFill>
                  <a:schemeClr val="bg1"/>
                </a:solidFill>
              </a:rPr>
              <a:t>servidores</a:t>
            </a:r>
            <a:r>
              <a:rPr lang="es-CO" sz="1200" b="1" baseline="0">
                <a:solidFill>
                  <a:schemeClr val="bg1"/>
                </a:solidFill>
              </a:rPr>
              <a:t> &amp; maquinaria</a:t>
            </a:r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</xdr:col>
      <xdr:colOff>144557</xdr:colOff>
      <xdr:row>20</xdr:row>
      <xdr:rowOff>167530</xdr:rowOff>
    </xdr:from>
    <xdr:to>
      <xdr:col>4</xdr:col>
      <xdr:colOff>11207</xdr:colOff>
      <xdr:row>25</xdr:row>
      <xdr:rowOff>167530</xdr:rowOff>
    </xdr:to>
    <xdr:grpSp>
      <xdr:nvGrpSpPr>
        <xdr:cNvPr id="80" name="238 Grupo"/>
        <xdr:cNvGrpSpPr/>
      </xdr:nvGrpSpPr>
      <xdr:grpSpPr>
        <a:xfrm>
          <a:off x="729664" y="4535423"/>
          <a:ext cx="1390650" cy="952500"/>
          <a:chOff x="284884" y="245919"/>
          <a:chExt cx="2048672" cy="1449532"/>
        </a:xfrm>
      </xdr:grpSpPr>
      <xdr:pic macro="[0]!GoToBalanceLinea">
        <xdr:nvPicPr>
          <xdr:cNvPr id="81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00B0F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BalanceLinea" textlink="">
        <xdr:nvSpPr>
          <xdr:cNvPr id="82" name="240 CuadroTexto"/>
          <xdr:cNvSpPr txBox="1"/>
        </xdr:nvSpPr>
        <xdr:spPr>
          <a:xfrm>
            <a:off x="517071" y="530677"/>
            <a:ext cx="1592035" cy="106330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% ocupación &amp; balance</a:t>
            </a:r>
            <a:r>
              <a:rPr lang="es-CO" sz="1200" b="1" baseline="0">
                <a:solidFill>
                  <a:schemeClr val="bg1"/>
                </a:solidFill>
              </a:rPr>
              <a:t> de línea</a:t>
            </a:r>
            <a:endParaRPr lang="es-CO" sz="1200" b="1">
              <a:solidFill>
                <a:schemeClr val="bg1"/>
              </a:solidFill>
            </a:endParaRPr>
          </a:p>
          <a:p>
            <a:pPr algn="r"/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8</xdr:col>
      <xdr:colOff>180411</xdr:colOff>
      <xdr:row>13</xdr:row>
      <xdr:rowOff>28017</xdr:rowOff>
    </xdr:from>
    <xdr:to>
      <xdr:col>10</xdr:col>
      <xdr:colOff>47061</xdr:colOff>
      <xdr:row>17</xdr:row>
      <xdr:rowOff>189941</xdr:rowOff>
    </xdr:to>
    <xdr:grpSp>
      <xdr:nvGrpSpPr>
        <xdr:cNvPr id="83" name="263 Grupo"/>
        <xdr:cNvGrpSpPr/>
      </xdr:nvGrpSpPr>
      <xdr:grpSpPr>
        <a:xfrm>
          <a:off x="5337518" y="3062410"/>
          <a:ext cx="1390650" cy="923924"/>
          <a:chOff x="284884" y="245919"/>
          <a:chExt cx="2048672" cy="1449532"/>
        </a:xfrm>
      </xdr:grpSpPr>
      <xdr:pic macro="[0]!GoToTasaProceso">
        <xdr:nvPicPr>
          <xdr:cNvPr id="84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chemeClr val="accent2">
                <a:tint val="45000"/>
                <a:satMod val="400000"/>
              </a:scheme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ln>
            <a:noFill/>
          </a:ln>
          <a:effectLst>
            <a:outerShdw blurRad="292100" dist="139700" dir="2700000" algn="tl" rotWithShape="0">
              <a:srgbClr val="333333">
                <a:alpha val="65000"/>
              </a:srgbClr>
            </a:outerShdw>
          </a:effectLst>
        </xdr:spPr>
      </xdr:pic>
      <xdr:sp macro="[0]!GoToTasaProceso" textlink="">
        <xdr:nvSpPr>
          <xdr:cNvPr id="85" name="265 CuadroTexto"/>
          <xdr:cNvSpPr txBox="1"/>
        </xdr:nvSpPr>
        <xdr:spPr>
          <a:xfrm>
            <a:off x="517071" y="530677"/>
            <a:ext cx="1592035" cy="10601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Tasa de proceso &amp; eficiencia</a:t>
            </a:r>
          </a:p>
        </xdr:txBody>
      </xdr:sp>
    </xdr:grpSp>
    <xdr:clientData/>
  </xdr:twoCellAnchor>
  <xdr:twoCellAnchor>
    <xdr:from>
      <xdr:col>10</xdr:col>
      <xdr:colOff>190495</xdr:colOff>
      <xdr:row>13</xdr:row>
      <xdr:rowOff>2243</xdr:rowOff>
    </xdr:from>
    <xdr:to>
      <xdr:col>12</xdr:col>
      <xdr:colOff>57145</xdr:colOff>
      <xdr:row>17</xdr:row>
      <xdr:rowOff>164167</xdr:rowOff>
    </xdr:to>
    <xdr:grpSp>
      <xdr:nvGrpSpPr>
        <xdr:cNvPr id="89" name="263 Grupo"/>
        <xdr:cNvGrpSpPr/>
      </xdr:nvGrpSpPr>
      <xdr:grpSpPr>
        <a:xfrm>
          <a:off x="6871602" y="3036636"/>
          <a:ext cx="1390650" cy="923924"/>
          <a:chOff x="284884" y="245919"/>
          <a:chExt cx="2048672" cy="1449532"/>
        </a:xfrm>
      </xdr:grpSpPr>
      <xdr:pic macro="[0]!GoToDimensionesLayout">
        <xdr:nvPicPr>
          <xdr:cNvPr id="90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chemeClr val="accent2">
                <a:tint val="45000"/>
                <a:satMod val="400000"/>
              </a:scheme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ln>
            <a:noFill/>
          </a:ln>
          <a:effectLst>
            <a:outerShdw blurRad="292100" dist="139700" dir="2700000" algn="tl" rotWithShape="0">
              <a:srgbClr val="333333">
                <a:alpha val="65000"/>
              </a:srgbClr>
            </a:outerShdw>
          </a:effectLst>
        </xdr:spPr>
      </xdr:pic>
      <xdr:sp macro="[0]!GoToDimensionesLayout" textlink="">
        <xdr:nvSpPr>
          <xdr:cNvPr id="91" name="265 CuadroTexto"/>
          <xdr:cNvSpPr txBox="1"/>
        </xdr:nvSpPr>
        <xdr:spPr>
          <a:xfrm>
            <a:off x="517071" y="530677"/>
            <a:ext cx="1592035" cy="10302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Dimensiones</a:t>
            </a:r>
          </a:p>
          <a:p>
            <a:pPr algn="r"/>
            <a:r>
              <a:rPr lang="es-CO" sz="1200" b="1">
                <a:solidFill>
                  <a:schemeClr val="bg1"/>
                </a:solidFill>
              </a:rPr>
              <a:t>layout</a:t>
            </a:r>
            <a:r>
              <a:rPr lang="es-CO" sz="1200" b="1" baseline="0">
                <a:solidFill>
                  <a:schemeClr val="bg1"/>
                </a:solidFill>
              </a:rPr>
              <a:t> disponible</a:t>
            </a:r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10</xdr:col>
      <xdr:colOff>287433</xdr:colOff>
      <xdr:row>29</xdr:row>
      <xdr:rowOff>51547</xdr:rowOff>
    </xdr:from>
    <xdr:to>
      <xdr:col>12</xdr:col>
      <xdr:colOff>125508</xdr:colOff>
      <xdr:row>34</xdr:row>
      <xdr:rowOff>70598</xdr:rowOff>
    </xdr:to>
    <xdr:grpSp>
      <xdr:nvGrpSpPr>
        <xdr:cNvPr id="92" name="90 Grupo"/>
        <xdr:cNvGrpSpPr/>
      </xdr:nvGrpSpPr>
      <xdr:grpSpPr>
        <a:xfrm>
          <a:off x="6968540" y="6133940"/>
          <a:ext cx="1362075" cy="971551"/>
          <a:chOff x="284884" y="245919"/>
          <a:chExt cx="2048672" cy="1449532"/>
        </a:xfrm>
      </xdr:grpSpPr>
      <xdr:pic macro="[0]!GoToCruce">
        <xdr:nvPicPr>
          <xdr:cNvPr id="9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FFFF0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Cruce" textlink="">
        <xdr:nvSpPr>
          <xdr:cNvPr id="94" name="92 CuadroTexto"/>
          <xdr:cNvSpPr txBox="1"/>
        </xdr:nvSpPr>
        <xdr:spPr>
          <a:xfrm>
            <a:off x="517071" y="530676"/>
            <a:ext cx="1592034" cy="102266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Cruce</a:t>
            </a:r>
          </a:p>
          <a:p>
            <a:pPr algn="r"/>
            <a:r>
              <a:rPr lang="es-CO" sz="1200" b="1">
                <a:solidFill>
                  <a:schemeClr val="bg1"/>
                </a:solidFill>
              </a:rPr>
              <a:t>PMX</a:t>
            </a:r>
          </a:p>
        </xdr:txBody>
      </xdr:sp>
    </xdr:grpSp>
    <xdr:clientData/>
  </xdr:twoCellAnchor>
  <xdr:twoCellAnchor>
    <xdr:from>
      <xdr:col>8</xdr:col>
      <xdr:colOff>240930</xdr:colOff>
      <xdr:row>20</xdr:row>
      <xdr:rowOff>129432</xdr:rowOff>
    </xdr:from>
    <xdr:to>
      <xdr:col>10</xdr:col>
      <xdr:colOff>107580</xdr:colOff>
      <xdr:row>25</xdr:row>
      <xdr:rowOff>129432</xdr:rowOff>
    </xdr:to>
    <xdr:grpSp>
      <xdr:nvGrpSpPr>
        <xdr:cNvPr id="95" name="238 Grupo"/>
        <xdr:cNvGrpSpPr/>
      </xdr:nvGrpSpPr>
      <xdr:grpSpPr>
        <a:xfrm>
          <a:off x="5398037" y="4497325"/>
          <a:ext cx="1390650" cy="952500"/>
          <a:chOff x="284884" y="245919"/>
          <a:chExt cx="2048672" cy="1449532"/>
        </a:xfrm>
      </xdr:grpSpPr>
      <xdr:pic macro="[0]!GoToMatrizDistancia">
        <xdr:nvPicPr>
          <xdr:cNvPr id="96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00B0F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MatrizDistancia" textlink="">
        <xdr:nvSpPr>
          <xdr:cNvPr id="97" name="240 CuadroTexto"/>
          <xdr:cNvSpPr txBox="1"/>
        </xdr:nvSpPr>
        <xdr:spPr>
          <a:xfrm>
            <a:off x="517071" y="530677"/>
            <a:ext cx="1592035" cy="106330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Matriz de </a:t>
            </a:r>
          </a:p>
          <a:p>
            <a:pPr algn="r"/>
            <a:r>
              <a:rPr lang="es-CO" sz="1200" b="1">
                <a:solidFill>
                  <a:schemeClr val="bg1"/>
                </a:solidFill>
              </a:rPr>
              <a:t>distancias</a:t>
            </a:r>
          </a:p>
          <a:p>
            <a:pPr algn="r"/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4</xdr:col>
      <xdr:colOff>85725</xdr:colOff>
      <xdr:row>13</xdr:row>
      <xdr:rowOff>10648</xdr:rowOff>
    </xdr:from>
    <xdr:to>
      <xdr:col>5</xdr:col>
      <xdr:colOff>714375</xdr:colOff>
      <xdr:row>17</xdr:row>
      <xdr:rowOff>172572</xdr:rowOff>
    </xdr:to>
    <xdr:grpSp>
      <xdr:nvGrpSpPr>
        <xdr:cNvPr id="98" name="263 Grupo"/>
        <xdr:cNvGrpSpPr/>
      </xdr:nvGrpSpPr>
      <xdr:grpSpPr>
        <a:xfrm>
          <a:off x="2194832" y="3045041"/>
          <a:ext cx="1390650" cy="923924"/>
          <a:chOff x="284884" y="245919"/>
          <a:chExt cx="2048672" cy="1449532"/>
        </a:xfrm>
      </xdr:grpSpPr>
      <xdr:pic macro="[0]!GoToMatrizProximidad">
        <xdr:nvPicPr>
          <xdr:cNvPr id="9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chemeClr val="accent2">
                <a:tint val="45000"/>
                <a:satMod val="400000"/>
              </a:scheme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ln>
            <a:noFill/>
          </a:ln>
          <a:effectLst>
            <a:outerShdw blurRad="292100" dist="139700" dir="2700000" algn="tl" rotWithShape="0">
              <a:srgbClr val="333333">
                <a:alpha val="65000"/>
              </a:srgbClr>
            </a:outerShdw>
          </a:effectLst>
        </xdr:spPr>
      </xdr:pic>
      <xdr:sp macro="[0]!GoToMatrizProximidad" textlink="">
        <xdr:nvSpPr>
          <xdr:cNvPr id="100" name="265 CuadroTexto"/>
          <xdr:cNvSpPr txBox="1"/>
        </xdr:nvSpPr>
        <xdr:spPr>
          <a:xfrm>
            <a:off x="517071" y="530677"/>
            <a:ext cx="1592035" cy="10302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Estaciones: Matriz de proximidad </a:t>
            </a:r>
          </a:p>
        </xdr:txBody>
      </xdr:sp>
    </xdr:grpSp>
    <xdr:clientData/>
  </xdr:twoCellAnchor>
  <xdr:twoCellAnchor>
    <xdr:from>
      <xdr:col>4</xdr:col>
      <xdr:colOff>135592</xdr:colOff>
      <xdr:row>20</xdr:row>
      <xdr:rowOff>158566</xdr:rowOff>
    </xdr:from>
    <xdr:to>
      <xdr:col>6</xdr:col>
      <xdr:colOff>2242</xdr:colOff>
      <xdr:row>25</xdr:row>
      <xdr:rowOff>158566</xdr:rowOff>
    </xdr:to>
    <xdr:grpSp>
      <xdr:nvGrpSpPr>
        <xdr:cNvPr id="101" name="238 Grupo"/>
        <xdr:cNvGrpSpPr/>
      </xdr:nvGrpSpPr>
      <xdr:grpSpPr>
        <a:xfrm>
          <a:off x="2244699" y="4526459"/>
          <a:ext cx="1390650" cy="952500"/>
          <a:chOff x="284884" y="245919"/>
          <a:chExt cx="2048672" cy="1449532"/>
        </a:xfrm>
      </xdr:grpSpPr>
      <xdr:pic macro="[0]!GoToSuperficieEstaciones">
        <xdr:nvPicPr>
          <xdr:cNvPr id="102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00B0F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SuperficieEstaciones" textlink="">
        <xdr:nvSpPr>
          <xdr:cNvPr id="103" name="240 CuadroTexto"/>
          <xdr:cNvSpPr txBox="1"/>
        </xdr:nvSpPr>
        <xdr:spPr>
          <a:xfrm>
            <a:off x="517071" y="530677"/>
            <a:ext cx="1592035" cy="106330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Superficie gravitación</a:t>
            </a:r>
            <a:r>
              <a:rPr lang="es-CO" sz="1200" b="1" baseline="0">
                <a:solidFill>
                  <a:schemeClr val="bg1"/>
                </a:solidFill>
              </a:rPr>
              <a:t> &amp; </a:t>
            </a:r>
            <a:r>
              <a:rPr lang="es-CO" sz="1200" b="1">
                <a:solidFill>
                  <a:schemeClr val="bg1"/>
                </a:solidFill>
              </a:rPr>
              <a:t>evolución</a:t>
            </a:r>
          </a:p>
          <a:p>
            <a:pPr algn="r"/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6</xdr:col>
      <xdr:colOff>126066</xdr:colOff>
      <xdr:row>13</xdr:row>
      <xdr:rowOff>39783</xdr:rowOff>
    </xdr:from>
    <xdr:to>
      <xdr:col>7</xdr:col>
      <xdr:colOff>754716</xdr:colOff>
      <xdr:row>18</xdr:row>
      <xdr:rowOff>11207</xdr:rowOff>
    </xdr:to>
    <xdr:grpSp>
      <xdr:nvGrpSpPr>
        <xdr:cNvPr id="107" name="263 Grupo"/>
        <xdr:cNvGrpSpPr/>
      </xdr:nvGrpSpPr>
      <xdr:grpSpPr>
        <a:xfrm>
          <a:off x="3759173" y="3074176"/>
          <a:ext cx="1390650" cy="923924"/>
          <a:chOff x="284884" y="245919"/>
          <a:chExt cx="2048672" cy="1449532"/>
        </a:xfrm>
      </xdr:grpSpPr>
      <xdr:pic macro="[0]!GoToFlujoProceso">
        <xdr:nvPicPr>
          <xdr:cNvPr id="108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chemeClr val="accent2">
                <a:tint val="45000"/>
                <a:satMod val="400000"/>
              </a:scheme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ln>
            <a:noFill/>
          </a:ln>
          <a:effectLst>
            <a:outerShdw blurRad="292100" dist="139700" dir="2700000" algn="tl" rotWithShape="0">
              <a:srgbClr val="333333">
                <a:alpha val="65000"/>
              </a:srgbClr>
            </a:outerShdw>
          </a:effectLst>
        </xdr:spPr>
      </xdr:pic>
      <xdr:sp macro="[0]!GoToFlujoProceso" textlink="">
        <xdr:nvSpPr>
          <xdr:cNvPr id="109" name="265 CuadroTexto"/>
          <xdr:cNvSpPr txBox="1"/>
        </xdr:nvSpPr>
        <xdr:spPr>
          <a:xfrm>
            <a:off x="517071" y="530677"/>
            <a:ext cx="1592035" cy="10302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Estaciones: F</a:t>
            </a:r>
            <a:r>
              <a:rPr lang="es-CO" sz="1200" b="1" baseline="0">
                <a:solidFill>
                  <a:schemeClr val="bg1"/>
                </a:solidFill>
              </a:rPr>
              <a:t>lujo de producto</a:t>
            </a:r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12</xdr:col>
      <xdr:colOff>186012</xdr:colOff>
      <xdr:row>13</xdr:row>
      <xdr:rowOff>8966</xdr:rowOff>
    </xdr:from>
    <xdr:to>
      <xdr:col>14</xdr:col>
      <xdr:colOff>52662</xdr:colOff>
      <xdr:row>17</xdr:row>
      <xdr:rowOff>170890</xdr:rowOff>
    </xdr:to>
    <xdr:grpSp>
      <xdr:nvGrpSpPr>
        <xdr:cNvPr id="110" name="263 Grupo"/>
        <xdr:cNvGrpSpPr/>
      </xdr:nvGrpSpPr>
      <xdr:grpSpPr>
        <a:xfrm>
          <a:off x="8391119" y="3043359"/>
          <a:ext cx="1390650" cy="923924"/>
          <a:chOff x="284884" y="245919"/>
          <a:chExt cx="2048672" cy="1449532"/>
        </a:xfrm>
      </xdr:grpSpPr>
      <xdr:pic macro="[0]!GoToThroughputTotal">
        <xdr:nvPicPr>
          <xdr:cNvPr id="111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chemeClr val="accent2">
                <a:tint val="45000"/>
                <a:satMod val="400000"/>
              </a:scheme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ln>
            <a:noFill/>
          </a:ln>
          <a:effectLst>
            <a:outerShdw blurRad="292100" dist="139700" dir="2700000" algn="tl" rotWithShape="0">
              <a:srgbClr val="333333">
                <a:alpha val="65000"/>
              </a:srgbClr>
            </a:outerShdw>
          </a:effectLst>
        </xdr:spPr>
      </xdr:pic>
      <xdr:sp macro="[0]!GoToThroughputTotal" textlink="">
        <xdr:nvSpPr>
          <xdr:cNvPr id="112" name="265 CuadroTexto"/>
          <xdr:cNvSpPr txBox="1"/>
        </xdr:nvSpPr>
        <xdr:spPr>
          <a:xfrm>
            <a:off x="517071" y="530677"/>
            <a:ext cx="1592035" cy="10302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Throughput</a:t>
            </a:r>
            <a:r>
              <a:rPr lang="es-CO" sz="1200" b="1" baseline="0">
                <a:solidFill>
                  <a:schemeClr val="bg1"/>
                </a:solidFill>
              </a:rPr>
              <a:t> &amp; parámetros planta</a:t>
            </a:r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6</xdr:col>
      <xdr:colOff>175934</xdr:colOff>
      <xdr:row>20</xdr:row>
      <xdr:rowOff>142878</xdr:rowOff>
    </xdr:from>
    <xdr:to>
      <xdr:col>8</xdr:col>
      <xdr:colOff>42584</xdr:colOff>
      <xdr:row>25</xdr:row>
      <xdr:rowOff>142878</xdr:rowOff>
    </xdr:to>
    <xdr:grpSp>
      <xdr:nvGrpSpPr>
        <xdr:cNvPr id="113" name="238 Grupo"/>
        <xdr:cNvGrpSpPr/>
      </xdr:nvGrpSpPr>
      <xdr:grpSpPr>
        <a:xfrm>
          <a:off x="3809041" y="4510771"/>
          <a:ext cx="1390650" cy="952500"/>
          <a:chOff x="284884" y="245919"/>
          <a:chExt cx="2048672" cy="1449532"/>
        </a:xfrm>
      </xdr:grpSpPr>
      <xdr:pic macro="[0]!GoToMatrizTrafico">
        <xdr:nvPicPr>
          <xdr:cNvPr id="114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00B0F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MatrizTrafico" textlink="">
        <xdr:nvSpPr>
          <xdr:cNvPr id="115" name="240 CuadroTexto"/>
          <xdr:cNvSpPr txBox="1"/>
        </xdr:nvSpPr>
        <xdr:spPr>
          <a:xfrm>
            <a:off x="517071" y="530677"/>
            <a:ext cx="1592035" cy="106330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Matriz de tráfico</a:t>
            </a:r>
          </a:p>
          <a:p>
            <a:pPr algn="r"/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6</xdr:col>
      <xdr:colOff>222439</xdr:colOff>
      <xdr:row>29</xdr:row>
      <xdr:rowOff>45944</xdr:rowOff>
    </xdr:from>
    <xdr:to>
      <xdr:col>8</xdr:col>
      <xdr:colOff>73961</xdr:colOff>
      <xdr:row>34</xdr:row>
      <xdr:rowOff>85166</xdr:rowOff>
    </xdr:to>
    <xdr:grpSp>
      <xdr:nvGrpSpPr>
        <xdr:cNvPr id="119" name="90 Grupo"/>
        <xdr:cNvGrpSpPr/>
      </xdr:nvGrpSpPr>
      <xdr:grpSpPr>
        <a:xfrm>
          <a:off x="3855546" y="6128337"/>
          <a:ext cx="1375522" cy="991722"/>
          <a:chOff x="284884" y="245919"/>
          <a:chExt cx="2048672" cy="1449532"/>
        </a:xfrm>
      </xdr:grpSpPr>
      <xdr:pic macro="[0]!GoToPoblacion">
        <xdr:nvPicPr>
          <xdr:cNvPr id="120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FFFF0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Poblacion" textlink="">
        <xdr:nvSpPr>
          <xdr:cNvPr id="121" name="92 CuadroTexto"/>
          <xdr:cNvSpPr txBox="1"/>
        </xdr:nvSpPr>
        <xdr:spPr>
          <a:xfrm>
            <a:off x="517071" y="530676"/>
            <a:ext cx="1592034" cy="102266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 baseline="0">
                <a:solidFill>
                  <a:schemeClr val="bg1"/>
                </a:solidFill>
              </a:rPr>
              <a:t>Población </a:t>
            </a:r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4</xdr:col>
      <xdr:colOff>179293</xdr:colOff>
      <xdr:row>5</xdr:row>
      <xdr:rowOff>22412</xdr:rowOff>
    </xdr:from>
    <xdr:to>
      <xdr:col>6</xdr:col>
      <xdr:colOff>25774</xdr:colOff>
      <xdr:row>9</xdr:row>
      <xdr:rowOff>152401</xdr:rowOff>
    </xdr:to>
    <xdr:grpSp>
      <xdr:nvGrpSpPr>
        <xdr:cNvPr id="125" name="13 Grupo"/>
        <xdr:cNvGrpSpPr/>
      </xdr:nvGrpSpPr>
      <xdr:grpSpPr>
        <a:xfrm>
          <a:off x="2288400" y="1532805"/>
          <a:ext cx="1370481" cy="891989"/>
          <a:chOff x="284884" y="245919"/>
          <a:chExt cx="2048672" cy="1449532"/>
        </a:xfrm>
      </xdr:grpSpPr>
      <xdr:pic macro="[0]!GoToServidores">
        <xdr:nvPicPr>
          <xdr:cNvPr id="126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ln>
            <a:noFill/>
          </a:ln>
          <a:effectLst>
            <a:outerShdw blurRad="292100" dist="139700" dir="2700000" algn="tl" rotWithShape="0">
              <a:srgbClr val="333333">
                <a:alpha val="65000"/>
              </a:srgbClr>
            </a:outerShdw>
          </a:effectLst>
        </xdr:spPr>
      </xdr:pic>
      <xdr:sp macro="[0]!GoToServidores" textlink="">
        <xdr:nvSpPr>
          <xdr:cNvPr id="127" name="12 CuadroTexto"/>
          <xdr:cNvSpPr txBox="1"/>
        </xdr:nvSpPr>
        <xdr:spPr>
          <a:xfrm>
            <a:off x="517071" y="530677"/>
            <a:ext cx="1592035" cy="8844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Máquinas y/o servidores</a:t>
            </a:r>
          </a:p>
        </xdr:txBody>
      </xdr:sp>
    </xdr:grpSp>
    <xdr:clientData/>
  </xdr:twoCellAnchor>
  <xdr:twoCellAnchor>
    <xdr:from>
      <xdr:col>2</xdr:col>
      <xdr:colOff>200027</xdr:colOff>
      <xdr:row>28</xdr:row>
      <xdr:rowOff>180414</xdr:rowOff>
    </xdr:from>
    <xdr:to>
      <xdr:col>4</xdr:col>
      <xdr:colOff>51549</xdr:colOff>
      <xdr:row>34</xdr:row>
      <xdr:rowOff>29136</xdr:rowOff>
    </xdr:to>
    <xdr:grpSp>
      <xdr:nvGrpSpPr>
        <xdr:cNvPr id="128" name="90 Grupo"/>
        <xdr:cNvGrpSpPr/>
      </xdr:nvGrpSpPr>
      <xdr:grpSpPr>
        <a:xfrm>
          <a:off x="785134" y="6072307"/>
          <a:ext cx="1375522" cy="991722"/>
          <a:chOff x="284884" y="245919"/>
          <a:chExt cx="2048672" cy="1449532"/>
        </a:xfrm>
      </xdr:grpSpPr>
      <xdr:pic macro="[0]!GoToConfiguracionAG">
        <xdr:nvPicPr>
          <xdr:cNvPr id="12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FFFF0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ConfiguracionAG" textlink="">
        <xdr:nvSpPr>
          <xdr:cNvPr id="130" name="92 CuadroTexto"/>
          <xdr:cNvSpPr txBox="1"/>
        </xdr:nvSpPr>
        <xdr:spPr>
          <a:xfrm>
            <a:off x="517071" y="530676"/>
            <a:ext cx="1592034" cy="102266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 baseline="0">
                <a:solidFill>
                  <a:schemeClr val="bg1"/>
                </a:solidFill>
              </a:rPr>
              <a:t>Configuración Algoritmo Genético</a:t>
            </a:r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</xdr:col>
      <xdr:colOff>129987</xdr:colOff>
      <xdr:row>5</xdr:row>
      <xdr:rowOff>29135</xdr:rowOff>
    </xdr:from>
    <xdr:to>
      <xdr:col>3</xdr:col>
      <xdr:colOff>738468</xdr:colOff>
      <xdr:row>9</xdr:row>
      <xdr:rowOff>159124</xdr:rowOff>
    </xdr:to>
    <xdr:grpSp>
      <xdr:nvGrpSpPr>
        <xdr:cNvPr id="131" name="13 Grupo"/>
        <xdr:cNvGrpSpPr/>
      </xdr:nvGrpSpPr>
      <xdr:grpSpPr>
        <a:xfrm>
          <a:off x="715094" y="1539528"/>
          <a:ext cx="1370481" cy="891989"/>
          <a:chOff x="284884" y="245919"/>
          <a:chExt cx="2048672" cy="1449532"/>
        </a:xfrm>
      </xdr:grpSpPr>
      <xdr:pic macro="[0]!GoToEstaciones">
        <xdr:nvPicPr>
          <xdr:cNvPr id="132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ln>
            <a:noFill/>
          </a:ln>
          <a:effectLst>
            <a:outerShdw blurRad="292100" dist="139700" dir="2700000" algn="tl" rotWithShape="0">
              <a:srgbClr val="333333">
                <a:alpha val="65000"/>
              </a:srgbClr>
            </a:outerShdw>
          </a:effectLst>
        </xdr:spPr>
      </xdr:pic>
      <xdr:sp macro="[0]!GoToEstaciones" textlink="">
        <xdr:nvSpPr>
          <xdr:cNvPr id="133" name="12 CuadroTexto"/>
          <xdr:cNvSpPr txBox="1"/>
        </xdr:nvSpPr>
        <xdr:spPr>
          <a:xfrm>
            <a:off x="517071" y="530677"/>
            <a:ext cx="1592035" cy="8844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Estaciones</a:t>
            </a:r>
          </a:p>
        </xdr:txBody>
      </xdr:sp>
    </xdr:grpSp>
    <xdr:clientData/>
  </xdr:twoCellAnchor>
  <xdr:twoCellAnchor>
    <xdr:from>
      <xdr:col>12</xdr:col>
      <xdr:colOff>282950</xdr:colOff>
      <xdr:row>29</xdr:row>
      <xdr:rowOff>35859</xdr:rowOff>
    </xdr:from>
    <xdr:to>
      <xdr:col>14</xdr:col>
      <xdr:colOff>121025</xdr:colOff>
      <xdr:row>34</xdr:row>
      <xdr:rowOff>54910</xdr:rowOff>
    </xdr:to>
    <xdr:grpSp>
      <xdr:nvGrpSpPr>
        <xdr:cNvPr id="134" name="90 Grupo"/>
        <xdr:cNvGrpSpPr/>
      </xdr:nvGrpSpPr>
      <xdr:grpSpPr>
        <a:xfrm>
          <a:off x="8488057" y="6118252"/>
          <a:ext cx="1362075" cy="971551"/>
          <a:chOff x="284884" y="245919"/>
          <a:chExt cx="2048672" cy="1449532"/>
        </a:xfrm>
      </xdr:grpSpPr>
      <xdr:pic macro="[0]!GoToNuevaPoblacion">
        <xdr:nvPicPr>
          <xdr:cNvPr id="135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FFFF0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NuevaPoblacion" textlink="">
        <xdr:nvSpPr>
          <xdr:cNvPr id="136" name="92 CuadroTexto"/>
          <xdr:cNvSpPr txBox="1"/>
        </xdr:nvSpPr>
        <xdr:spPr>
          <a:xfrm>
            <a:off x="517071" y="530676"/>
            <a:ext cx="1592034" cy="102266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Nueva Población</a:t>
            </a:r>
          </a:p>
        </xdr:txBody>
      </xdr:sp>
    </xdr:grpSp>
    <xdr:clientData/>
  </xdr:twoCellAnchor>
  <xdr:twoCellAnchor>
    <xdr:from>
      <xdr:col>8</xdr:col>
      <xdr:colOff>273986</xdr:colOff>
      <xdr:row>29</xdr:row>
      <xdr:rowOff>38100</xdr:rowOff>
    </xdr:from>
    <xdr:to>
      <xdr:col>10</xdr:col>
      <xdr:colOff>112061</xdr:colOff>
      <xdr:row>34</xdr:row>
      <xdr:rowOff>57151</xdr:rowOff>
    </xdr:to>
    <xdr:grpSp>
      <xdr:nvGrpSpPr>
        <xdr:cNvPr id="140" name="90 Grupo"/>
        <xdr:cNvGrpSpPr/>
      </xdr:nvGrpSpPr>
      <xdr:grpSpPr>
        <a:xfrm>
          <a:off x="5431093" y="6120493"/>
          <a:ext cx="1362075" cy="971551"/>
          <a:chOff x="284884" y="245919"/>
          <a:chExt cx="2048672" cy="1449532"/>
        </a:xfrm>
      </xdr:grpSpPr>
      <xdr:pic macro="[0]!GoToHistoricoResultados">
        <xdr:nvPicPr>
          <xdr:cNvPr id="141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FFFF0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[0]!GoToHistoricoResultados" textlink="">
        <xdr:nvSpPr>
          <xdr:cNvPr id="142" name="92 CuadroTexto"/>
          <xdr:cNvSpPr txBox="1"/>
        </xdr:nvSpPr>
        <xdr:spPr>
          <a:xfrm>
            <a:off x="517071" y="530676"/>
            <a:ext cx="1592034" cy="102266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Histórico</a:t>
            </a:r>
          </a:p>
          <a:p>
            <a:pPr algn="r"/>
            <a:r>
              <a:rPr lang="es-CO" sz="1200" b="1" i="0" u="none" strike="noStrike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resultados</a:t>
            </a:r>
            <a:endParaRPr lang="es-CO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4</xdr:col>
      <xdr:colOff>267262</xdr:colOff>
      <xdr:row>37</xdr:row>
      <xdr:rowOff>5605</xdr:rowOff>
    </xdr:from>
    <xdr:to>
      <xdr:col>6</xdr:col>
      <xdr:colOff>114860</xdr:colOff>
      <xdr:row>41</xdr:row>
      <xdr:rowOff>186579</xdr:rowOff>
    </xdr:to>
    <xdr:grpSp>
      <xdr:nvGrpSpPr>
        <xdr:cNvPr id="143" name="105 Grupo"/>
        <xdr:cNvGrpSpPr/>
      </xdr:nvGrpSpPr>
      <xdr:grpSpPr>
        <a:xfrm>
          <a:off x="2376369" y="7611998"/>
          <a:ext cx="1371598" cy="942974"/>
          <a:chOff x="9936456" y="5977438"/>
          <a:chExt cx="2028330" cy="1449532"/>
        </a:xfrm>
      </xdr:grpSpPr>
      <xdr:pic macro="[0]!GoToFuentesImagenes">
        <xdr:nvPicPr>
          <xdr:cNvPr id="144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</a:blip>
          <a:srcRect/>
          <a:stretch>
            <a:fillRect/>
          </a:stretch>
        </xdr:blipFill>
        <xdr:spPr bwMode="auto">
          <a:xfrm>
            <a:off x="9936456" y="5977438"/>
            <a:ext cx="2028330" cy="1449532"/>
          </a:xfrm>
          <a:prstGeom prst="rect">
            <a:avLst/>
          </a:prstGeom>
          <a:noFill/>
        </xdr:spPr>
      </xdr:pic>
      <xdr:sp macro="[0]!GoToFuentesImagenes" textlink="">
        <xdr:nvSpPr>
          <xdr:cNvPr id="145" name="120 CuadroTexto"/>
          <xdr:cNvSpPr txBox="1"/>
        </xdr:nvSpPr>
        <xdr:spPr>
          <a:xfrm>
            <a:off x="10166338" y="6262196"/>
            <a:ext cx="1576227" cy="8844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Fuentes</a:t>
            </a:r>
          </a:p>
          <a:p>
            <a:pPr algn="r"/>
            <a:r>
              <a:rPr lang="es-CO" sz="1200" b="1">
                <a:solidFill>
                  <a:schemeClr val="bg1"/>
                </a:solidFill>
              </a:rPr>
              <a:t>imágenes</a:t>
            </a:r>
          </a:p>
        </xdr:txBody>
      </xdr:sp>
    </xdr:grpSp>
    <xdr:clientData/>
  </xdr:twoCellAnchor>
  <xdr:twoCellAnchor>
    <xdr:from>
      <xdr:col>21</xdr:col>
      <xdr:colOff>262218</xdr:colOff>
      <xdr:row>38</xdr:row>
      <xdr:rowOff>22413</xdr:rowOff>
    </xdr:from>
    <xdr:to>
      <xdr:col>21</xdr:col>
      <xdr:colOff>1243853</xdr:colOff>
      <xdr:row>43</xdr:row>
      <xdr:rowOff>22413</xdr:rowOff>
    </xdr:to>
    <xdr:grpSp>
      <xdr:nvGrpSpPr>
        <xdr:cNvPr id="77" name="71 Grupo"/>
        <xdr:cNvGrpSpPr/>
      </xdr:nvGrpSpPr>
      <xdr:grpSpPr>
        <a:xfrm>
          <a:off x="13964611" y="7819306"/>
          <a:ext cx="981635" cy="952500"/>
          <a:chOff x="18894137" y="5831937"/>
          <a:chExt cx="1697182" cy="1659043"/>
        </a:xfrm>
      </xdr:grpSpPr>
      <xdr:pic macro="[0]!ShowAll">
        <xdr:nvPicPr>
          <xdr:cNvPr id="78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8894137" y="5831937"/>
            <a:ext cx="1697182" cy="1659043"/>
          </a:xfrm>
          <a:prstGeom prst="rect">
            <a:avLst/>
          </a:prstGeom>
          <a:noFill/>
        </xdr:spPr>
      </xdr:pic>
      <xdr:sp macro="[0]!ShowAll" textlink="">
        <xdr:nvSpPr>
          <xdr:cNvPr id="79" name="68 CuadroTexto"/>
          <xdr:cNvSpPr txBox="1"/>
        </xdr:nvSpPr>
        <xdr:spPr>
          <a:xfrm>
            <a:off x="19041440" y="6452633"/>
            <a:ext cx="816121" cy="70360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none" rtlCol="0" anchor="ctr">
            <a:noAutofit/>
          </a:bodyPr>
          <a:lstStyle/>
          <a:p>
            <a:pPr algn="ctr"/>
            <a:r>
              <a:rPr lang="es-CO" sz="800" b="1"/>
              <a:t>MOSTRA</a:t>
            </a:r>
            <a:r>
              <a:rPr lang="es-CO" sz="800" b="1" baseline="0"/>
              <a:t>R </a:t>
            </a:r>
          </a:p>
          <a:p>
            <a:pPr algn="ctr"/>
            <a:r>
              <a:rPr lang="es-CO" sz="800" b="1" baseline="0"/>
              <a:t>HOJAS</a:t>
            </a:r>
            <a:endParaRPr lang="es-CO" sz="800" b="1"/>
          </a:p>
        </xdr:txBody>
      </xdr:sp>
    </xdr:grpSp>
    <xdr:clientData/>
  </xdr:twoCellAnchor>
  <xdr:twoCellAnchor>
    <xdr:from>
      <xdr:col>21</xdr:col>
      <xdr:colOff>268942</xdr:colOff>
      <xdr:row>32</xdr:row>
      <xdr:rowOff>33617</xdr:rowOff>
    </xdr:from>
    <xdr:to>
      <xdr:col>21</xdr:col>
      <xdr:colOff>1143000</xdr:colOff>
      <xdr:row>36</xdr:row>
      <xdr:rowOff>100852</xdr:rowOff>
    </xdr:to>
    <xdr:grpSp>
      <xdr:nvGrpSpPr>
        <xdr:cNvPr id="156" name="72 Grupo"/>
        <xdr:cNvGrpSpPr/>
      </xdr:nvGrpSpPr>
      <xdr:grpSpPr>
        <a:xfrm>
          <a:off x="13971335" y="6687510"/>
          <a:ext cx="874058" cy="829235"/>
          <a:chOff x="17227261" y="6026728"/>
          <a:chExt cx="1437408" cy="1437408"/>
        </a:xfrm>
      </xdr:grpSpPr>
      <xdr:pic macro="[0]!GoToNavegador">
        <xdr:nvPicPr>
          <xdr:cNvPr id="157" name="Picture 4" descr="https://encrypted-tbn2.google.com/images?q=tbn:ANd9GcSz8vf_Mjlc4e83pmf0piDNR6PDo-JtzbNocrni-iIkepc8QcolHw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17227261" y="6026728"/>
            <a:ext cx="1437408" cy="1437408"/>
          </a:xfrm>
          <a:prstGeom prst="rect">
            <a:avLst/>
          </a:prstGeom>
          <a:noFill/>
        </xdr:spPr>
      </xdr:pic>
      <xdr:sp macro="[0]!GoToNavegador" textlink="">
        <xdr:nvSpPr>
          <xdr:cNvPr id="158" name="70 CuadroTexto"/>
          <xdr:cNvSpPr txBox="1"/>
        </xdr:nvSpPr>
        <xdr:spPr>
          <a:xfrm>
            <a:off x="17583250" y="6287430"/>
            <a:ext cx="816121" cy="91244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none" rtlCol="0" anchor="ctr">
            <a:noAutofit/>
          </a:bodyPr>
          <a:lstStyle/>
          <a:p>
            <a:pPr algn="ctr"/>
            <a:r>
              <a:rPr lang="es-CO" sz="800" b="1" baseline="0"/>
              <a:t>OCULTAR</a:t>
            </a:r>
          </a:p>
          <a:p>
            <a:pPr algn="ctr"/>
            <a:r>
              <a:rPr lang="es-CO" sz="800" b="1" baseline="0"/>
              <a:t>HOJAS</a:t>
            </a:r>
            <a:endParaRPr lang="es-CO" sz="800" b="1"/>
          </a:p>
        </xdr:txBody>
      </xdr:sp>
    </xdr:grpSp>
    <xdr:clientData/>
  </xdr:twoCellAnchor>
  <xdr:twoCellAnchor>
    <xdr:from>
      <xdr:col>2</xdr:col>
      <xdr:colOff>200027</xdr:colOff>
      <xdr:row>36</xdr:row>
      <xdr:rowOff>173696</xdr:rowOff>
    </xdr:from>
    <xdr:to>
      <xdr:col>4</xdr:col>
      <xdr:colOff>47625</xdr:colOff>
      <xdr:row>41</xdr:row>
      <xdr:rowOff>164170</xdr:rowOff>
    </xdr:to>
    <xdr:grpSp>
      <xdr:nvGrpSpPr>
        <xdr:cNvPr id="159" name="105 Grupo"/>
        <xdr:cNvGrpSpPr/>
      </xdr:nvGrpSpPr>
      <xdr:grpSpPr>
        <a:xfrm>
          <a:off x="785134" y="7589589"/>
          <a:ext cx="1371598" cy="942974"/>
          <a:chOff x="9936456" y="5977438"/>
          <a:chExt cx="2028330" cy="1449532"/>
        </a:xfrm>
      </xdr:grpSpPr>
      <xdr:pic macro="[0]!GoToTemplates">
        <xdr:nvPicPr>
          <xdr:cNvPr id="160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</a:blip>
          <a:srcRect/>
          <a:stretch>
            <a:fillRect/>
          </a:stretch>
        </xdr:blipFill>
        <xdr:spPr bwMode="auto">
          <a:xfrm>
            <a:off x="9936456" y="5977438"/>
            <a:ext cx="2028330" cy="1449532"/>
          </a:xfrm>
          <a:prstGeom prst="rect">
            <a:avLst/>
          </a:prstGeom>
          <a:noFill/>
        </xdr:spPr>
      </xdr:pic>
      <xdr:sp macro="[0]!GoToTemplates" textlink="">
        <xdr:nvSpPr>
          <xdr:cNvPr id="161" name="120 CuadroTexto"/>
          <xdr:cNvSpPr txBox="1"/>
        </xdr:nvSpPr>
        <xdr:spPr>
          <a:xfrm>
            <a:off x="10166338" y="6262196"/>
            <a:ext cx="1576227" cy="8844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Templates</a:t>
            </a:r>
            <a:r>
              <a:rPr lang="es-CO" sz="1200" b="1" baseline="0">
                <a:solidFill>
                  <a:schemeClr val="bg1"/>
                </a:solidFill>
              </a:rPr>
              <a:t> estaciones</a:t>
            </a:r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6</xdr:col>
      <xdr:colOff>330015</xdr:colOff>
      <xdr:row>36</xdr:row>
      <xdr:rowOff>180417</xdr:rowOff>
    </xdr:from>
    <xdr:to>
      <xdr:col>8</xdr:col>
      <xdr:colOff>177613</xdr:colOff>
      <xdr:row>41</xdr:row>
      <xdr:rowOff>170891</xdr:rowOff>
    </xdr:to>
    <xdr:grpSp>
      <xdr:nvGrpSpPr>
        <xdr:cNvPr id="146" name="105 Grupo"/>
        <xdr:cNvGrpSpPr/>
      </xdr:nvGrpSpPr>
      <xdr:grpSpPr>
        <a:xfrm>
          <a:off x="3963122" y="7596310"/>
          <a:ext cx="1371598" cy="942974"/>
          <a:chOff x="9936456" y="5977438"/>
          <a:chExt cx="2028330" cy="1449532"/>
        </a:xfrm>
      </xdr:grpSpPr>
      <xdr:pic macro="[0]!GoToListados">
        <xdr:nvPicPr>
          <xdr:cNvPr id="147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</a:blip>
          <a:srcRect/>
          <a:stretch>
            <a:fillRect/>
          </a:stretch>
        </xdr:blipFill>
        <xdr:spPr bwMode="auto">
          <a:xfrm>
            <a:off x="9936456" y="5977438"/>
            <a:ext cx="2028330" cy="1449532"/>
          </a:xfrm>
          <a:prstGeom prst="rect">
            <a:avLst/>
          </a:prstGeom>
          <a:noFill/>
        </xdr:spPr>
      </xdr:pic>
      <xdr:sp macro="[0]!GoToListados" textlink="">
        <xdr:nvSpPr>
          <xdr:cNvPr id="148" name="120 CuadroTexto"/>
          <xdr:cNvSpPr txBox="1"/>
        </xdr:nvSpPr>
        <xdr:spPr>
          <a:xfrm>
            <a:off x="10166338" y="6262196"/>
            <a:ext cx="1576227" cy="8844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Listados</a:t>
            </a:r>
          </a:p>
        </xdr:txBody>
      </xdr:sp>
    </xdr:grpSp>
    <xdr:clientData/>
  </xdr:twoCellAnchor>
  <xdr:twoCellAnchor>
    <xdr:from>
      <xdr:col>15</xdr:col>
      <xdr:colOff>73710</xdr:colOff>
      <xdr:row>1</xdr:row>
      <xdr:rowOff>103341</xdr:rowOff>
    </xdr:from>
    <xdr:to>
      <xdr:col>18</xdr:col>
      <xdr:colOff>535830</xdr:colOff>
      <xdr:row>1</xdr:row>
      <xdr:rowOff>800910</xdr:rowOff>
    </xdr:to>
    <xdr:grpSp>
      <xdr:nvGrpSpPr>
        <xdr:cNvPr id="3" name="Grupo 2"/>
        <xdr:cNvGrpSpPr/>
      </xdr:nvGrpSpPr>
      <xdr:grpSpPr>
        <a:xfrm>
          <a:off x="10564817" y="198591"/>
          <a:ext cx="2748120" cy="697569"/>
          <a:chOff x="10701616" y="229034"/>
          <a:chExt cx="2691015" cy="656232"/>
        </a:xfrm>
      </xdr:grpSpPr>
      <xdr:pic>
        <xdr:nvPicPr>
          <xdr:cNvPr id="150" name="Icono.A" descr="http://img.directindustry.com/images_di/photo-g/bi-material-vertical-hydraulic-injection-molding-machines-7260-6820657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654116" y="264369"/>
            <a:ext cx="648258" cy="587278"/>
          </a:xfrm>
          <a:prstGeom prst="rect">
            <a:avLst/>
          </a:prstGeom>
          <a:noFill/>
          <a:ln w="19050"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49" name="Icono.B" descr="http://www.ozarkwoodworker.com/images/AdPhotos/nardiniad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701616" y="229034"/>
            <a:ext cx="676972" cy="637941"/>
          </a:xfrm>
          <a:prstGeom prst="rect">
            <a:avLst/>
          </a:prstGeom>
          <a:noFill/>
          <a:ln w="19050"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" name="Flecha derecha 1"/>
          <xdr:cNvSpPr/>
        </xdr:nvSpPr>
        <xdr:spPr>
          <a:xfrm>
            <a:off x="11418794" y="481853"/>
            <a:ext cx="224118" cy="89648"/>
          </a:xfrm>
          <a:prstGeom prst="rightArrow">
            <a:avLst/>
          </a:prstGeom>
          <a:solidFill>
            <a:schemeClr val="bg2"/>
          </a:solidFill>
          <a:ln w="1905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pic>
        <xdr:nvPicPr>
          <xdr:cNvPr id="154" name="Icono.C" descr="http://dc705.4shared.com/doc/HHWYTQLP/preview_html_m3e58bc23.png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29883" y="280148"/>
            <a:ext cx="662748" cy="605118"/>
          </a:xfrm>
          <a:prstGeom prst="rect">
            <a:avLst/>
          </a:prstGeom>
          <a:noFill/>
          <a:ln w="19050"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55" name="Flecha derecha 154"/>
          <xdr:cNvSpPr/>
        </xdr:nvSpPr>
        <xdr:spPr>
          <a:xfrm>
            <a:off x="12411635" y="477370"/>
            <a:ext cx="224118" cy="89648"/>
          </a:xfrm>
          <a:prstGeom prst="rightArrow">
            <a:avLst/>
          </a:prstGeom>
          <a:solidFill>
            <a:schemeClr val="bg2"/>
          </a:solidFill>
          <a:ln w="1905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CO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10</xdr:col>
      <xdr:colOff>337300</xdr:colOff>
      <xdr:row>20</xdr:row>
      <xdr:rowOff>136155</xdr:rowOff>
    </xdr:from>
    <xdr:to>
      <xdr:col>12</xdr:col>
      <xdr:colOff>203950</xdr:colOff>
      <xdr:row>25</xdr:row>
      <xdr:rowOff>136155</xdr:rowOff>
    </xdr:to>
    <xdr:grpSp>
      <xdr:nvGrpSpPr>
        <xdr:cNvPr id="152" name="238 Grupo"/>
        <xdr:cNvGrpSpPr/>
      </xdr:nvGrpSpPr>
      <xdr:grpSpPr>
        <a:xfrm>
          <a:off x="7018407" y="4504048"/>
          <a:ext cx="1390650" cy="952500"/>
          <a:chOff x="284884" y="245919"/>
          <a:chExt cx="2048672" cy="1449532"/>
        </a:xfrm>
      </xdr:grpSpPr>
      <xdr:pic>
        <xdr:nvPicPr>
          <xdr:cNvPr id="15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rgbClr val="00B0F0">
                <a:tint val="45000"/>
                <a:satMod val="400000"/>
              </a:srgbClr>
            </a:duotone>
          </a:blip>
          <a:srcRect/>
          <a:stretch>
            <a:fillRect/>
          </a:stretch>
        </xdr:blipFill>
        <xdr:spPr bwMode="auto">
          <a:xfrm>
            <a:off x="284884" y="245919"/>
            <a:ext cx="2048672" cy="1449532"/>
          </a:xfrm>
          <a:prstGeom prst="rect">
            <a:avLst/>
          </a:prstGeom>
          <a:noFill/>
        </xdr:spPr>
      </xdr:pic>
      <xdr:sp macro="" textlink="">
        <xdr:nvSpPr>
          <xdr:cNvPr id="162" name="240 CuadroTexto"/>
          <xdr:cNvSpPr txBox="1"/>
        </xdr:nvSpPr>
        <xdr:spPr>
          <a:xfrm>
            <a:off x="517071" y="530677"/>
            <a:ext cx="1592035" cy="106330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r"/>
            <a:r>
              <a:rPr lang="es-CO" sz="1200" b="1">
                <a:solidFill>
                  <a:schemeClr val="bg1"/>
                </a:solidFill>
              </a:rPr>
              <a:t>Configuración</a:t>
            </a:r>
            <a:r>
              <a:rPr lang="es-CO" sz="1200" b="1" baseline="0">
                <a:solidFill>
                  <a:schemeClr val="bg1"/>
                </a:solidFill>
              </a:rPr>
              <a:t> layout</a:t>
            </a:r>
            <a:endParaRPr lang="es-CO" sz="1200" b="1">
              <a:solidFill>
                <a:schemeClr val="bg1"/>
              </a:solidFill>
            </a:endParaRPr>
          </a:p>
          <a:p>
            <a:pPr algn="r"/>
            <a:endParaRPr lang="es-CO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21</xdr:col>
      <xdr:colOff>235324</xdr:colOff>
      <xdr:row>1</xdr:row>
      <xdr:rowOff>100852</xdr:rowOff>
    </xdr:from>
    <xdr:to>
      <xdr:col>21</xdr:col>
      <xdr:colOff>1206499</xdr:colOff>
      <xdr:row>1</xdr:row>
      <xdr:rowOff>806822</xdr:rowOff>
    </xdr:to>
    <xdr:pic macro="[0]!AG">
      <xdr:nvPicPr>
        <xdr:cNvPr id="87" name="Imagen 86" descr="http://www.backgroundsy.com/file/large/play-button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8912" y="201705"/>
          <a:ext cx="971175" cy="705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0</xdr:row>
      <xdr:rowOff>133350</xdr:rowOff>
    </xdr:from>
    <xdr:to>
      <xdr:col>2</xdr:col>
      <xdr:colOff>761999</xdr:colOff>
      <xdr:row>0</xdr:row>
      <xdr:rowOff>190175</xdr:rowOff>
    </xdr:to>
    <xdr:grpSp>
      <xdr:nvGrpSpPr>
        <xdr:cNvPr id="5" name="11 Grupo"/>
        <xdr:cNvGrpSpPr/>
      </xdr:nvGrpSpPr>
      <xdr:grpSpPr>
        <a:xfrm>
          <a:off x="1952624" y="133350"/>
          <a:ext cx="0" cy="56825"/>
          <a:chOff x="7241906" y="40523"/>
          <a:chExt cx="873394" cy="609275"/>
        </a:xfrm>
      </xdr:grpSpPr>
      <xdr:pic>
        <xdr:nvPicPr>
          <xdr:cNvPr id="6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7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8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9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10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1</xdr:col>
      <xdr:colOff>0</xdr:colOff>
      <xdr:row>0</xdr:row>
      <xdr:rowOff>114300</xdr:rowOff>
    </xdr:from>
    <xdr:to>
      <xdr:col>2</xdr:col>
      <xdr:colOff>2828925</xdr:colOff>
      <xdr:row>0</xdr:row>
      <xdr:rowOff>914400</xdr:rowOff>
    </xdr:to>
    <xdr:grpSp>
      <xdr:nvGrpSpPr>
        <xdr:cNvPr id="15" name="Grupo 14"/>
        <xdr:cNvGrpSpPr/>
      </xdr:nvGrpSpPr>
      <xdr:grpSpPr>
        <a:xfrm>
          <a:off x="142875" y="114300"/>
          <a:ext cx="3876675" cy="800100"/>
          <a:chOff x="1524000" y="1809750"/>
          <a:chExt cx="4171950" cy="800100"/>
        </a:xfrm>
      </xdr:grpSpPr>
      <xdr:sp macro="" textlink="">
        <xdr:nvSpPr>
          <xdr:cNvPr id="12" name="3 Rectángulo"/>
          <xdr:cNvSpPr/>
        </xdr:nvSpPr>
        <xdr:spPr>
          <a:xfrm>
            <a:off x="1524000" y="1809750"/>
            <a:ext cx="4171950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    Estación de trabajo</a:t>
            </a:r>
          </a:p>
        </xdr:txBody>
      </xdr:sp>
      <xdr:pic>
        <xdr:nvPicPr>
          <xdr:cNvPr id="14" name="Imagen 13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771650" y="1914525"/>
            <a:ext cx="981075" cy="619785"/>
          </a:xfrm>
          <a:prstGeom prst="rect">
            <a:avLst/>
          </a:prstGeom>
          <a:noFill/>
          <a:ln w="28575"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257175</xdr:colOff>
      <xdr:row>0</xdr:row>
      <xdr:rowOff>257175</xdr:rowOff>
    </xdr:from>
    <xdr:to>
      <xdr:col>4</xdr:col>
      <xdr:colOff>323850</xdr:colOff>
      <xdr:row>0</xdr:row>
      <xdr:rowOff>866450</xdr:rowOff>
    </xdr:to>
    <xdr:grpSp>
      <xdr:nvGrpSpPr>
        <xdr:cNvPr id="11" name="11 Grupo"/>
        <xdr:cNvGrpSpPr/>
      </xdr:nvGrpSpPr>
      <xdr:grpSpPr>
        <a:xfrm>
          <a:off x="4467225" y="257175"/>
          <a:ext cx="828675" cy="609275"/>
          <a:chOff x="7241906" y="40523"/>
          <a:chExt cx="873394" cy="609275"/>
        </a:xfrm>
      </xdr:grpSpPr>
      <xdr:pic macro="[0]!GoToNavegador">
        <xdr:nvPicPr>
          <xdr:cNvPr id="1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6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7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8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9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5528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3</xdr:col>
      <xdr:colOff>1200150</xdr:colOff>
      <xdr:row>0</xdr:row>
      <xdr:rowOff>914400</xdr:rowOff>
    </xdr:to>
    <xdr:grpSp>
      <xdr:nvGrpSpPr>
        <xdr:cNvPr id="16" name="Grupo 15"/>
        <xdr:cNvGrpSpPr/>
      </xdr:nvGrpSpPr>
      <xdr:grpSpPr>
        <a:xfrm>
          <a:off x="133351" y="114300"/>
          <a:ext cx="3857624" cy="800100"/>
          <a:chOff x="133351" y="114300"/>
          <a:chExt cx="3857624" cy="800100"/>
        </a:xfrm>
      </xdr:grpSpPr>
      <xdr:sp macro="" textlink="">
        <xdr:nvSpPr>
          <xdr:cNvPr id="12" name="3 Rectángulo"/>
          <xdr:cNvSpPr/>
        </xdr:nvSpPr>
        <xdr:spPr>
          <a:xfrm>
            <a:off x="133351" y="114300"/>
            <a:ext cx="385762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Servidor</a:t>
            </a:r>
            <a:r>
              <a:rPr lang="es-CO" sz="1400" b="1" baseline="0"/>
              <a:t> asociado</a:t>
            </a:r>
          </a:p>
          <a:p>
            <a:pPr algn="ctr"/>
            <a:r>
              <a:rPr lang="es-CO" sz="1400" b="1" baseline="0"/>
              <a:t>                      a cada estación</a:t>
            </a:r>
            <a:endParaRPr lang="es-CO" sz="1400" b="1"/>
          </a:p>
        </xdr:txBody>
      </xdr:sp>
      <xdr:pic>
        <xdr:nvPicPr>
          <xdr:cNvPr id="15" name="Imagen 14" descr="http://www.americanmachinetools.com/images/Smithy_Granite1340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5774" y="190501"/>
            <a:ext cx="933451" cy="6477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238125</xdr:colOff>
      <xdr:row>0</xdr:row>
      <xdr:rowOff>257175</xdr:rowOff>
    </xdr:from>
    <xdr:to>
      <xdr:col>4</xdr:col>
      <xdr:colOff>1066800</xdr:colOff>
      <xdr:row>0</xdr:row>
      <xdr:rowOff>866450</xdr:rowOff>
    </xdr:to>
    <xdr:grpSp>
      <xdr:nvGrpSpPr>
        <xdr:cNvPr id="11" name="11 Grupo"/>
        <xdr:cNvGrpSpPr/>
      </xdr:nvGrpSpPr>
      <xdr:grpSpPr>
        <a:xfrm>
          <a:off x="4467225" y="257175"/>
          <a:ext cx="828675" cy="609275"/>
          <a:chOff x="7241906" y="40523"/>
          <a:chExt cx="873394" cy="609275"/>
        </a:xfrm>
      </xdr:grpSpPr>
      <xdr:pic macro="[0]!GoToNavegador">
        <xdr:nvPicPr>
          <xdr:cNvPr id="1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7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8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9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5528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238125</xdr:colOff>
      <xdr:row>0</xdr:row>
      <xdr:rowOff>257175</xdr:rowOff>
    </xdr:from>
    <xdr:to>
      <xdr:col>5</xdr:col>
      <xdr:colOff>304800</xdr:colOff>
      <xdr:row>0</xdr:row>
      <xdr:rowOff>866450</xdr:rowOff>
    </xdr:to>
    <xdr:grpSp>
      <xdr:nvGrpSpPr>
        <xdr:cNvPr id="11" name="11 Grupo"/>
        <xdr:cNvGrpSpPr/>
      </xdr:nvGrpSpPr>
      <xdr:grpSpPr>
        <a:xfrm>
          <a:off x="4467225" y="257175"/>
          <a:ext cx="828675" cy="609275"/>
          <a:chOff x="7241906" y="40523"/>
          <a:chExt cx="873394" cy="609275"/>
        </a:xfrm>
      </xdr:grpSpPr>
      <xdr:pic macro="[0]!GoToNavegador">
        <xdr:nvPicPr>
          <xdr:cNvPr id="12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3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4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5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6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3</xdr:col>
      <xdr:colOff>1200150</xdr:colOff>
      <xdr:row>0</xdr:row>
      <xdr:rowOff>914400</xdr:rowOff>
    </xdr:to>
    <xdr:grpSp>
      <xdr:nvGrpSpPr>
        <xdr:cNvPr id="21" name="Grupo 20"/>
        <xdr:cNvGrpSpPr/>
      </xdr:nvGrpSpPr>
      <xdr:grpSpPr>
        <a:xfrm>
          <a:off x="133351" y="114300"/>
          <a:ext cx="3857624" cy="800100"/>
          <a:chOff x="133351" y="114300"/>
          <a:chExt cx="3857624" cy="800100"/>
        </a:xfrm>
      </xdr:grpSpPr>
      <xdr:sp macro="" textlink="">
        <xdr:nvSpPr>
          <xdr:cNvPr id="9" name="3 Rectángulo"/>
          <xdr:cNvSpPr/>
        </xdr:nvSpPr>
        <xdr:spPr>
          <a:xfrm>
            <a:off x="133351" y="114300"/>
            <a:ext cx="385762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Parámetros servidores</a:t>
            </a:r>
            <a:endParaRPr lang="es-CO" sz="1400" b="1" baseline="0"/>
          </a:p>
          <a:p>
            <a:pPr algn="ctr"/>
            <a:r>
              <a:rPr lang="es-CO" sz="1400" b="1" baseline="0"/>
              <a:t>                     (dimensiones y accesibilidad)</a:t>
            </a:r>
            <a:endParaRPr lang="es-CO" sz="1400" b="1"/>
          </a:p>
        </xdr:txBody>
      </xdr:sp>
      <xdr:pic>
        <xdr:nvPicPr>
          <xdr:cNvPr id="20" name="Imagen 19" descr="http://t1.gstatic.com/images?q=tbn:ANd9GcT7kAPqmDv-t9ofVq5YjRulCrD2nFMefAhp80-mxtn7Z4_YqXKH"/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7175" y="171450"/>
            <a:ext cx="904875" cy="69922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609974" y="47625"/>
          <a:ext cx="0" cy="0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1</xdr:col>
      <xdr:colOff>0</xdr:colOff>
      <xdr:row>1</xdr:row>
      <xdr:rowOff>76200</xdr:rowOff>
    </xdr:from>
    <xdr:to>
      <xdr:col>3</xdr:col>
      <xdr:colOff>1209674</xdr:colOff>
      <xdr:row>7</xdr:row>
      <xdr:rowOff>0</xdr:rowOff>
    </xdr:to>
    <xdr:grpSp>
      <xdr:nvGrpSpPr>
        <xdr:cNvPr id="19" name="Grupo 18"/>
        <xdr:cNvGrpSpPr/>
      </xdr:nvGrpSpPr>
      <xdr:grpSpPr>
        <a:xfrm>
          <a:off x="142875" y="123825"/>
          <a:ext cx="3914774" cy="800100"/>
          <a:chOff x="133351" y="114300"/>
          <a:chExt cx="3914774" cy="800100"/>
        </a:xfrm>
      </xdr:grpSpPr>
      <xdr:sp macro="" textlink="">
        <xdr:nvSpPr>
          <xdr:cNvPr id="20" name="3 Rectángulo"/>
          <xdr:cNvSpPr/>
        </xdr:nvSpPr>
        <xdr:spPr>
          <a:xfrm>
            <a:off x="133351" y="114300"/>
            <a:ext cx="391477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Matriz</a:t>
            </a:r>
            <a:r>
              <a:rPr lang="es-CO" sz="1400" b="1" baseline="0"/>
              <a:t> de </a:t>
            </a:r>
          </a:p>
          <a:p>
            <a:pPr algn="ctr"/>
            <a:r>
              <a:rPr lang="es-CO" sz="1400" b="1" baseline="0"/>
              <a:t>                      proximidad</a:t>
            </a:r>
            <a:endParaRPr lang="es-CO" sz="1400" b="1"/>
          </a:p>
        </xdr:txBody>
      </xdr:sp>
      <xdr:pic>
        <xdr:nvPicPr>
          <xdr:cNvPr id="21" name="Imagen 20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5300" y="171450"/>
            <a:ext cx="1238250" cy="7048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247650</xdr:colOff>
      <xdr:row>2</xdr:row>
      <xdr:rowOff>47625</xdr:rowOff>
    </xdr:from>
    <xdr:to>
      <xdr:col>4</xdr:col>
      <xdr:colOff>1076325</xdr:colOff>
      <xdr:row>6</xdr:row>
      <xdr:rowOff>85400</xdr:rowOff>
    </xdr:to>
    <xdr:grpSp>
      <xdr:nvGrpSpPr>
        <xdr:cNvPr id="22" name="11 Grupo"/>
        <xdr:cNvGrpSpPr/>
      </xdr:nvGrpSpPr>
      <xdr:grpSpPr>
        <a:xfrm>
          <a:off x="4467225" y="257175"/>
          <a:ext cx="828675" cy="609275"/>
          <a:chOff x="7241906" y="40523"/>
          <a:chExt cx="873394" cy="609275"/>
        </a:xfrm>
      </xdr:grpSpPr>
      <xdr:pic macro="[0]!GoToNavegador">
        <xdr:nvPicPr>
          <xdr:cNvPr id="2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2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2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2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2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1</xdr:row>
      <xdr:rowOff>0</xdr:rowOff>
    </xdr:from>
    <xdr:to>
      <xdr:col>3</xdr:col>
      <xdr:colOff>761999</xdr:colOff>
      <xdr:row>1</xdr:row>
      <xdr:rowOff>0</xdr:rowOff>
    </xdr:to>
    <xdr:grpSp>
      <xdr:nvGrpSpPr>
        <xdr:cNvPr id="2" name="11 Grupo"/>
        <xdr:cNvGrpSpPr/>
      </xdr:nvGrpSpPr>
      <xdr:grpSpPr>
        <a:xfrm>
          <a:off x="3602934" y="49696"/>
          <a:ext cx="0" cy="0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247650</xdr:colOff>
      <xdr:row>2</xdr:row>
      <xdr:rowOff>47625</xdr:rowOff>
    </xdr:from>
    <xdr:to>
      <xdr:col>4</xdr:col>
      <xdr:colOff>1076325</xdr:colOff>
      <xdr:row>6</xdr:row>
      <xdr:rowOff>85400</xdr:rowOff>
    </xdr:to>
    <xdr:grpSp>
      <xdr:nvGrpSpPr>
        <xdr:cNvPr id="11" name="11 Grupo"/>
        <xdr:cNvGrpSpPr/>
      </xdr:nvGrpSpPr>
      <xdr:grpSpPr>
        <a:xfrm>
          <a:off x="4463498" y="262973"/>
          <a:ext cx="828675" cy="600992"/>
          <a:chOff x="7241906" y="40523"/>
          <a:chExt cx="873394" cy="609275"/>
        </a:xfrm>
      </xdr:grpSpPr>
      <xdr:pic macro="[0]!GoToNavegador">
        <xdr:nvPicPr>
          <xdr:cNvPr id="12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3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4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5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6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1</xdr:col>
      <xdr:colOff>19050</xdr:colOff>
      <xdr:row>1</xdr:row>
      <xdr:rowOff>95250</xdr:rowOff>
    </xdr:from>
    <xdr:to>
      <xdr:col>3</xdr:col>
      <xdr:colOff>1228724</xdr:colOff>
      <xdr:row>7</xdr:row>
      <xdr:rowOff>19050</xdr:rowOff>
    </xdr:to>
    <xdr:grpSp>
      <xdr:nvGrpSpPr>
        <xdr:cNvPr id="18" name="Grupo 17"/>
        <xdr:cNvGrpSpPr/>
      </xdr:nvGrpSpPr>
      <xdr:grpSpPr>
        <a:xfrm>
          <a:off x="159854" y="144946"/>
          <a:ext cx="3909805" cy="793474"/>
          <a:chOff x="142875" y="123825"/>
          <a:chExt cx="3914774" cy="800100"/>
        </a:xfrm>
      </xdr:grpSpPr>
      <xdr:sp macro="" textlink="">
        <xdr:nvSpPr>
          <xdr:cNvPr id="9" name="3 Rectángulo"/>
          <xdr:cNvSpPr/>
        </xdr:nvSpPr>
        <xdr:spPr>
          <a:xfrm>
            <a:off x="142875" y="123825"/>
            <a:ext cx="391477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Flujo de producto</a:t>
            </a:r>
          </a:p>
        </xdr:txBody>
      </xdr:sp>
      <xdr:pic>
        <xdr:nvPicPr>
          <xdr:cNvPr id="17" name="Imagen 16" descr="http://2.bp.blogspot.com/-JAXJjeTLHlI/UJVaUjTYCSI/AAAAAAAAABI/D0a2jD80GK0/s1600/1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4447" y="180975"/>
            <a:ext cx="1315753" cy="6572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5528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85725</xdr:colOff>
      <xdr:row>0</xdr:row>
      <xdr:rowOff>266700</xdr:rowOff>
    </xdr:from>
    <xdr:to>
      <xdr:col>4</xdr:col>
      <xdr:colOff>990600</xdr:colOff>
      <xdr:row>0</xdr:row>
      <xdr:rowOff>875975</xdr:rowOff>
    </xdr:to>
    <xdr:grpSp>
      <xdr:nvGrpSpPr>
        <xdr:cNvPr id="11" name="11 Grupo"/>
        <xdr:cNvGrpSpPr/>
      </xdr:nvGrpSpPr>
      <xdr:grpSpPr>
        <a:xfrm>
          <a:off x="4314825" y="266700"/>
          <a:ext cx="904875" cy="609275"/>
          <a:chOff x="7241906" y="40523"/>
          <a:chExt cx="873394" cy="609275"/>
        </a:xfrm>
      </xdr:grpSpPr>
      <xdr:pic macro="[0]!GoToNavegador">
        <xdr:nvPicPr>
          <xdr:cNvPr id="12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3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4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5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6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3</xdr:col>
      <xdr:colOff>1200150</xdr:colOff>
      <xdr:row>0</xdr:row>
      <xdr:rowOff>914400</xdr:rowOff>
    </xdr:to>
    <xdr:grpSp>
      <xdr:nvGrpSpPr>
        <xdr:cNvPr id="18" name="Grupo 17"/>
        <xdr:cNvGrpSpPr/>
      </xdr:nvGrpSpPr>
      <xdr:grpSpPr>
        <a:xfrm>
          <a:off x="133351" y="114300"/>
          <a:ext cx="3857624" cy="800100"/>
          <a:chOff x="133351" y="114300"/>
          <a:chExt cx="3857624" cy="800100"/>
        </a:xfrm>
      </xdr:grpSpPr>
      <xdr:sp macro="" textlink="">
        <xdr:nvSpPr>
          <xdr:cNvPr id="9" name="3 Rectángulo"/>
          <xdr:cNvSpPr/>
        </xdr:nvSpPr>
        <xdr:spPr>
          <a:xfrm>
            <a:off x="133351" y="114300"/>
            <a:ext cx="385762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Tasa de proceso</a:t>
            </a:r>
          </a:p>
          <a:p>
            <a:pPr algn="ctr"/>
            <a:r>
              <a:rPr lang="es-CO" sz="1400" b="1"/>
              <a:t>                     &amp;</a:t>
            </a:r>
            <a:r>
              <a:rPr lang="es-CO" sz="1400" b="1" baseline="0"/>
              <a:t> eficiencia</a:t>
            </a:r>
            <a:endParaRPr lang="es-CO" sz="1400" b="1"/>
          </a:p>
        </xdr:txBody>
      </xdr:sp>
      <xdr:pic>
        <xdr:nvPicPr>
          <xdr:cNvPr id="17" name="Imagen 16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14326" y="190501"/>
            <a:ext cx="990600" cy="63833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0</xdr:row>
      <xdr:rowOff>133350</xdr:rowOff>
    </xdr:from>
    <xdr:to>
      <xdr:col>2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292417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3</xdr:col>
      <xdr:colOff>238125</xdr:colOff>
      <xdr:row>0</xdr:row>
      <xdr:rowOff>257175</xdr:rowOff>
    </xdr:from>
    <xdr:to>
      <xdr:col>4</xdr:col>
      <xdr:colOff>304800</xdr:colOff>
      <xdr:row>0</xdr:row>
      <xdr:rowOff>866450</xdr:rowOff>
    </xdr:to>
    <xdr:grpSp>
      <xdr:nvGrpSpPr>
        <xdr:cNvPr id="8" name="11 Grupo"/>
        <xdr:cNvGrpSpPr/>
      </xdr:nvGrpSpPr>
      <xdr:grpSpPr>
        <a:xfrm>
          <a:off x="4314825" y="257175"/>
          <a:ext cx="828675" cy="609275"/>
          <a:chOff x="7241906" y="40523"/>
          <a:chExt cx="873394" cy="609275"/>
        </a:xfrm>
      </xdr:grpSpPr>
      <xdr:pic macro="[0]!GoToNavegador">
        <xdr:nvPicPr>
          <xdr:cNvPr id="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0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2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3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1</xdr:col>
      <xdr:colOff>57151</xdr:colOff>
      <xdr:row>0</xdr:row>
      <xdr:rowOff>114300</xdr:rowOff>
    </xdr:from>
    <xdr:to>
      <xdr:col>2</xdr:col>
      <xdr:colOff>1876425</xdr:colOff>
      <xdr:row>0</xdr:row>
      <xdr:rowOff>914400</xdr:rowOff>
    </xdr:to>
    <xdr:grpSp>
      <xdr:nvGrpSpPr>
        <xdr:cNvPr id="18" name="Grupo 17"/>
        <xdr:cNvGrpSpPr/>
      </xdr:nvGrpSpPr>
      <xdr:grpSpPr>
        <a:xfrm>
          <a:off x="200026" y="114300"/>
          <a:ext cx="3838574" cy="800100"/>
          <a:chOff x="133351" y="114300"/>
          <a:chExt cx="3838574" cy="800100"/>
        </a:xfrm>
      </xdr:grpSpPr>
      <xdr:sp macro="" textlink="">
        <xdr:nvSpPr>
          <xdr:cNvPr id="15" name="3 Rectángulo"/>
          <xdr:cNvSpPr/>
        </xdr:nvSpPr>
        <xdr:spPr>
          <a:xfrm>
            <a:off x="133351" y="114300"/>
            <a:ext cx="383857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Dimensiones</a:t>
            </a:r>
            <a:r>
              <a:rPr lang="es-CO" sz="1400" b="1" baseline="0"/>
              <a:t> layout planta</a:t>
            </a:r>
            <a:endParaRPr lang="es-CO" sz="1400" b="1"/>
          </a:p>
        </xdr:txBody>
      </xdr:sp>
      <xdr:pic>
        <xdr:nvPicPr>
          <xdr:cNvPr id="17" name="Imagen 16" descr="http://www.thewoodshop.20m.com/graphics/shop_layout1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4800" y="257175"/>
            <a:ext cx="904875" cy="5238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0</xdr:row>
      <xdr:rowOff>133350</xdr:rowOff>
    </xdr:from>
    <xdr:to>
      <xdr:col>2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22897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3</xdr:col>
      <xdr:colOff>238125</xdr:colOff>
      <xdr:row>0</xdr:row>
      <xdr:rowOff>257175</xdr:rowOff>
    </xdr:from>
    <xdr:to>
      <xdr:col>4</xdr:col>
      <xdr:colOff>304800</xdr:colOff>
      <xdr:row>0</xdr:row>
      <xdr:rowOff>866450</xdr:rowOff>
    </xdr:to>
    <xdr:grpSp>
      <xdr:nvGrpSpPr>
        <xdr:cNvPr id="8" name="11 Grupo"/>
        <xdr:cNvGrpSpPr/>
      </xdr:nvGrpSpPr>
      <xdr:grpSpPr>
        <a:xfrm>
          <a:off x="4400550" y="257175"/>
          <a:ext cx="828675" cy="609275"/>
          <a:chOff x="7241906" y="40523"/>
          <a:chExt cx="873394" cy="609275"/>
        </a:xfrm>
      </xdr:grpSpPr>
      <xdr:pic macro="[0]!GoToNavegador">
        <xdr:nvPicPr>
          <xdr:cNvPr id="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0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2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3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2</xdr:col>
      <xdr:colOff>1562100</xdr:colOff>
      <xdr:row>0</xdr:row>
      <xdr:rowOff>914400</xdr:rowOff>
    </xdr:to>
    <xdr:grpSp>
      <xdr:nvGrpSpPr>
        <xdr:cNvPr id="18" name="Grupo 17"/>
        <xdr:cNvGrpSpPr/>
      </xdr:nvGrpSpPr>
      <xdr:grpSpPr>
        <a:xfrm>
          <a:off x="133351" y="114300"/>
          <a:ext cx="3895724" cy="800100"/>
          <a:chOff x="133351" y="114300"/>
          <a:chExt cx="3838574" cy="800100"/>
        </a:xfrm>
      </xdr:grpSpPr>
      <xdr:sp macro="" textlink="">
        <xdr:nvSpPr>
          <xdr:cNvPr id="15" name="3 Rectángulo"/>
          <xdr:cNvSpPr/>
        </xdr:nvSpPr>
        <xdr:spPr>
          <a:xfrm>
            <a:off x="133351" y="114300"/>
            <a:ext cx="383857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Throughput t</a:t>
            </a:r>
            <a:r>
              <a:rPr lang="es-CO" sz="1400" b="1" baseline="0"/>
              <a:t>otal </a:t>
            </a:r>
          </a:p>
          <a:p>
            <a:pPr algn="ctr"/>
            <a:r>
              <a:rPr lang="es-CO" sz="1400" b="1" baseline="0"/>
              <a:t>                    &amp; parámetros planta</a:t>
            </a:r>
            <a:endParaRPr lang="es-CO" sz="1400" b="1"/>
          </a:p>
        </xdr:txBody>
      </xdr:sp>
      <xdr:pic>
        <xdr:nvPicPr>
          <xdr:cNvPr id="17" name="Imagen 16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52425" y="219076"/>
            <a:ext cx="1329479" cy="5905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5528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161927</xdr:colOff>
      <xdr:row>0</xdr:row>
      <xdr:rowOff>238125</xdr:rowOff>
    </xdr:from>
    <xdr:to>
      <xdr:col>4</xdr:col>
      <xdr:colOff>1066800</xdr:colOff>
      <xdr:row>0</xdr:row>
      <xdr:rowOff>847400</xdr:rowOff>
    </xdr:to>
    <xdr:grpSp>
      <xdr:nvGrpSpPr>
        <xdr:cNvPr id="8" name="11 Grupo"/>
        <xdr:cNvGrpSpPr/>
      </xdr:nvGrpSpPr>
      <xdr:grpSpPr>
        <a:xfrm>
          <a:off x="4391027" y="238125"/>
          <a:ext cx="904873" cy="609275"/>
          <a:chOff x="7241906" y="40523"/>
          <a:chExt cx="873394" cy="609275"/>
        </a:xfrm>
      </xdr:grpSpPr>
      <xdr:pic macro="[0]!GoToNavegador">
        <xdr:nvPicPr>
          <xdr:cNvPr id="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0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2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3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3</xdr:col>
      <xdr:colOff>1200150</xdr:colOff>
      <xdr:row>0</xdr:row>
      <xdr:rowOff>914400</xdr:rowOff>
    </xdr:to>
    <xdr:grpSp>
      <xdr:nvGrpSpPr>
        <xdr:cNvPr id="20" name="Grupo 19"/>
        <xdr:cNvGrpSpPr/>
      </xdr:nvGrpSpPr>
      <xdr:grpSpPr>
        <a:xfrm>
          <a:off x="133351" y="114300"/>
          <a:ext cx="3857624" cy="800100"/>
          <a:chOff x="133351" y="114300"/>
          <a:chExt cx="3857624" cy="800100"/>
        </a:xfrm>
      </xdr:grpSpPr>
      <xdr:sp macro="" textlink="">
        <xdr:nvSpPr>
          <xdr:cNvPr id="15" name="3 Rectángulo"/>
          <xdr:cNvSpPr/>
        </xdr:nvSpPr>
        <xdr:spPr>
          <a:xfrm>
            <a:off x="133351" y="114300"/>
            <a:ext cx="385762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% ocupación </a:t>
            </a:r>
          </a:p>
          <a:p>
            <a:pPr algn="ctr"/>
            <a:r>
              <a:rPr lang="es-CO" sz="1400" b="1"/>
              <a:t>                         &amp; balance de línea</a:t>
            </a:r>
          </a:p>
        </xdr:txBody>
      </xdr:sp>
      <xdr:pic>
        <xdr:nvPicPr>
          <xdr:cNvPr id="19" name="Imagen 18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295276" y="228600"/>
            <a:ext cx="1400174" cy="552450"/>
          </a:xfrm>
          <a:prstGeom prst="rect">
            <a:avLst/>
          </a:prstGeom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5528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504827</xdr:colOff>
      <xdr:row>0</xdr:row>
      <xdr:rowOff>219075</xdr:rowOff>
    </xdr:from>
    <xdr:to>
      <xdr:col>5</xdr:col>
      <xdr:colOff>438150</xdr:colOff>
      <xdr:row>0</xdr:row>
      <xdr:rowOff>828350</xdr:rowOff>
    </xdr:to>
    <xdr:grpSp>
      <xdr:nvGrpSpPr>
        <xdr:cNvPr id="8" name="11 Grupo"/>
        <xdr:cNvGrpSpPr/>
      </xdr:nvGrpSpPr>
      <xdr:grpSpPr>
        <a:xfrm>
          <a:off x="4733927" y="219075"/>
          <a:ext cx="885823" cy="609275"/>
          <a:chOff x="7241906" y="40523"/>
          <a:chExt cx="873394" cy="609275"/>
        </a:xfrm>
      </xdr:grpSpPr>
      <xdr:pic macro="[0]!GoToNavegador">
        <xdr:nvPicPr>
          <xdr:cNvPr id="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0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2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3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3</xdr:col>
      <xdr:colOff>1200150</xdr:colOff>
      <xdr:row>0</xdr:row>
      <xdr:rowOff>914400</xdr:rowOff>
    </xdr:to>
    <xdr:grpSp>
      <xdr:nvGrpSpPr>
        <xdr:cNvPr id="19" name="Grupo 18"/>
        <xdr:cNvGrpSpPr/>
      </xdr:nvGrpSpPr>
      <xdr:grpSpPr>
        <a:xfrm>
          <a:off x="133351" y="114300"/>
          <a:ext cx="3857624" cy="800100"/>
          <a:chOff x="133351" y="114300"/>
          <a:chExt cx="3857624" cy="800100"/>
        </a:xfrm>
      </xdr:grpSpPr>
      <xdr:sp macro="" textlink="">
        <xdr:nvSpPr>
          <xdr:cNvPr id="15" name="3 Rectángulo"/>
          <xdr:cNvSpPr/>
        </xdr:nvSpPr>
        <xdr:spPr>
          <a:xfrm>
            <a:off x="133351" y="114300"/>
            <a:ext cx="385762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Superficie estática, de </a:t>
            </a:r>
          </a:p>
          <a:p>
            <a:pPr algn="ctr"/>
            <a:r>
              <a:rPr lang="es-CO" sz="1400" b="1"/>
              <a:t>                      gravitación &amp; de evolución</a:t>
            </a:r>
          </a:p>
        </xdr:txBody>
      </xdr:sp>
      <xdr:pic>
        <xdr:nvPicPr>
          <xdr:cNvPr id="18" name="Imagen 17" descr="http://www.cuentocuentos.net/images/colorear/dibujos/Operario-Taller-03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81000" y="180975"/>
            <a:ext cx="981075" cy="6858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1</xdr:row>
      <xdr:rowOff>0</xdr:rowOff>
    </xdr:from>
    <xdr:to>
      <xdr:col>3</xdr:col>
      <xdr:colOff>761999</xdr:colOff>
      <xdr:row>1</xdr:row>
      <xdr:rowOff>0</xdr:rowOff>
    </xdr:to>
    <xdr:grpSp>
      <xdr:nvGrpSpPr>
        <xdr:cNvPr id="2" name="11 Grupo"/>
        <xdr:cNvGrpSpPr/>
      </xdr:nvGrpSpPr>
      <xdr:grpSpPr>
        <a:xfrm>
          <a:off x="3609974" y="47625"/>
          <a:ext cx="0" cy="0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247650</xdr:colOff>
      <xdr:row>2</xdr:row>
      <xdr:rowOff>47625</xdr:rowOff>
    </xdr:from>
    <xdr:to>
      <xdr:col>4</xdr:col>
      <xdr:colOff>1076325</xdr:colOff>
      <xdr:row>6</xdr:row>
      <xdr:rowOff>85400</xdr:rowOff>
    </xdr:to>
    <xdr:grpSp>
      <xdr:nvGrpSpPr>
        <xdr:cNvPr id="8" name="11 Grupo"/>
        <xdr:cNvGrpSpPr/>
      </xdr:nvGrpSpPr>
      <xdr:grpSpPr>
        <a:xfrm>
          <a:off x="4467225" y="257175"/>
          <a:ext cx="828675" cy="609275"/>
          <a:chOff x="7241906" y="40523"/>
          <a:chExt cx="873394" cy="609275"/>
        </a:xfrm>
      </xdr:grpSpPr>
      <xdr:pic macro="[0]!GoToNavegador">
        <xdr:nvPicPr>
          <xdr:cNvPr id="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0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2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3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1</xdr:col>
      <xdr:colOff>19050</xdr:colOff>
      <xdr:row>1</xdr:row>
      <xdr:rowOff>95250</xdr:rowOff>
    </xdr:from>
    <xdr:to>
      <xdr:col>3</xdr:col>
      <xdr:colOff>1228724</xdr:colOff>
      <xdr:row>7</xdr:row>
      <xdr:rowOff>19050</xdr:rowOff>
    </xdr:to>
    <xdr:grpSp>
      <xdr:nvGrpSpPr>
        <xdr:cNvPr id="14" name="Grupo 13"/>
        <xdr:cNvGrpSpPr/>
      </xdr:nvGrpSpPr>
      <xdr:grpSpPr>
        <a:xfrm>
          <a:off x="161925" y="142875"/>
          <a:ext cx="3914774" cy="800100"/>
          <a:chOff x="142875" y="123825"/>
          <a:chExt cx="3914774" cy="800100"/>
        </a:xfrm>
      </xdr:grpSpPr>
      <xdr:sp macro="" textlink="">
        <xdr:nvSpPr>
          <xdr:cNvPr id="15" name="3 Rectángulo"/>
          <xdr:cNvSpPr/>
        </xdr:nvSpPr>
        <xdr:spPr>
          <a:xfrm>
            <a:off x="142875" y="123825"/>
            <a:ext cx="391477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   Matriz de tráfico</a:t>
            </a:r>
          </a:p>
        </xdr:txBody>
      </xdr:sp>
      <xdr:pic>
        <xdr:nvPicPr>
          <xdr:cNvPr id="16" name="Imagen 15" descr="http://2.bp.blogspot.com/-JAXJjeTLHlI/UJVaUjTYCSI/AAAAAAAAABI/D0a2jD80GK0/s1600/1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4447" y="180975"/>
            <a:ext cx="1315753" cy="6572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1</xdr:row>
      <xdr:rowOff>0</xdr:rowOff>
    </xdr:from>
    <xdr:to>
      <xdr:col>3</xdr:col>
      <xdr:colOff>761999</xdr:colOff>
      <xdr:row>1</xdr:row>
      <xdr:rowOff>0</xdr:rowOff>
    </xdr:to>
    <xdr:grpSp>
      <xdr:nvGrpSpPr>
        <xdr:cNvPr id="2" name="11 Grupo"/>
        <xdr:cNvGrpSpPr/>
      </xdr:nvGrpSpPr>
      <xdr:grpSpPr>
        <a:xfrm>
          <a:off x="3609974" y="47625"/>
          <a:ext cx="0" cy="0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247650</xdr:colOff>
      <xdr:row>2</xdr:row>
      <xdr:rowOff>47625</xdr:rowOff>
    </xdr:from>
    <xdr:to>
      <xdr:col>4</xdr:col>
      <xdr:colOff>1076325</xdr:colOff>
      <xdr:row>6</xdr:row>
      <xdr:rowOff>85400</xdr:rowOff>
    </xdr:to>
    <xdr:grpSp>
      <xdr:nvGrpSpPr>
        <xdr:cNvPr id="8" name="11 Grupo"/>
        <xdr:cNvGrpSpPr/>
      </xdr:nvGrpSpPr>
      <xdr:grpSpPr>
        <a:xfrm>
          <a:off x="4467225" y="257175"/>
          <a:ext cx="828675" cy="609275"/>
          <a:chOff x="7241906" y="40523"/>
          <a:chExt cx="873394" cy="609275"/>
        </a:xfrm>
      </xdr:grpSpPr>
      <xdr:pic macro="[0]!GoToNavegador">
        <xdr:nvPicPr>
          <xdr:cNvPr id="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0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2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3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1</xdr:col>
      <xdr:colOff>19050</xdr:colOff>
      <xdr:row>1</xdr:row>
      <xdr:rowOff>95250</xdr:rowOff>
    </xdr:from>
    <xdr:to>
      <xdr:col>3</xdr:col>
      <xdr:colOff>1228724</xdr:colOff>
      <xdr:row>7</xdr:row>
      <xdr:rowOff>19050</xdr:rowOff>
    </xdr:to>
    <xdr:grpSp>
      <xdr:nvGrpSpPr>
        <xdr:cNvPr id="14" name="Grupo 13"/>
        <xdr:cNvGrpSpPr/>
      </xdr:nvGrpSpPr>
      <xdr:grpSpPr>
        <a:xfrm>
          <a:off x="161925" y="142875"/>
          <a:ext cx="3914774" cy="800100"/>
          <a:chOff x="142875" y="123825"/>
          <a:chExt cx="3914774" cy="800100"/>
        </a:xfrm>
      </xdr:grpSpPr>
      <xdr:sp macro="" textlink="">
        <xdr:nvSpPr>
          <xdr:cNvPr id="15" name="3 Rectángulo"/>
          <xdr:cNvSpPr/>
        </xdr:nvSpPr>
        <xdr:spPr>
          <a:xfrm>
            <a:off x="142875" y="123825"/>
            <a:ext cx="391477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   Matriz de distancias</a:t>
            </a:r>
          </a:p>
          <a:p>
            <a:pPr algn="ctr"/>
            <a:r>
              <a:rPr lang="es-CO" sz="1400" b="1"/>
              <a:t>                         unitarias</a:t>
            </a:r>
          </a:p>
        </xdr:txBody>
      </xdr:sp>
      <xdr:pic>
        <xdr:nvPicPr>
          <xdr:cNvPr id="16" name="Imagen 15" descr="http://2.bp.blogspot.com/-JAXJjeTLHlI/UJVaUjTYCSI/AAAAAAAAABI/D0a2jD80GK0/s1600/1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4447" y="180975"/>
            <a:ext cx="1315753" cy="6572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0</xdr:row>
      <xdr:rowOff>133350</xdr:rowOff>
    </xdr:from>
    <xdr:to>
      <xdr:col>2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24479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3</xdr:col>
      <xdr:colOff>257175</xdr:colOff>
      <xdr:row>0</xdr:row>
      <xdr:rowOff>257175</xdr:rowOff>
    </xdr:from>
    <xdr:to>
      <xdr:col>4</xdr:col>
      <xdr:colOff>323850</xdr:colOff>
      <xdr:row>0</xdr:row>
      <xdr:rowOff>866450</xdr:rowOff>
    </xdr:to>
    <xdr:grpSp>
      <xdr:nvGrpSpPr>
        <xdr:cNvPr id="11" name="11 Grupo"/>
        <xdr:cNvGrpSpPr/>
      </xdr:nvGrpSpPr>
      <xdr:grpSpPr>
        <a:xfrm>
          <a:off x="4962525" y="257175"/>
          <a:ext cx="828675" cy="609275"/>
          <a:chOff x="7241906" y="40523"/>
          <a:chExt cx="873394" cy="609275"/>
        </a:xfrm>
      </xdr:grpSpPr>
      <xdr:pic macro="[0]!GoToNavegador">
        <xdr:nvPicPr>
          <xdr:cNvPr id="12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3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4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5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6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1</xdr:col>
      <xdr:colOff>0</xdr:colOff>
      <xdr:row>0</xdr:row>
      <xdr:rowOff>114300</xdr:rowOff>
    </xdr:from>
    <xdr:to>
      <xdr:col>2</xdr:col>
      <xdr:colOff>2828925</xdr:colOff>
      <xdr:row>0</xdr:row>
      <xdr:rowOff>914400</xdr:rowOff>
    </xdr:to>
    <xdr:grpSp>
      <xdr:nvGrpSpPr>
        <xdr:cNvPr id="18" name="Grupo 17"/>
        <xdr:cNvGrpSpPr/>
      </xdr:nvGrpSpPr>
      <xdr:grpSpPr>
        <a:xfrm>
          <a:off x="142875" y="114300"/>
          <a:ext cx="4371975" cy="800100"/>
          <a:chOff x="142875" y="114300"/>
          <a:chExt cx="3876675" cy="800100"/>
        </a:xfrm>
      </xdr:grpSpPr>
      <xdr:sp macro="" textlink="">
        <xdr:nvSpPr>
          <xdr:cNvPr id="9" name="3 Rectángulo"/>
          <xdr:cNvSpPr/>
        </xdr:nvSpPr>
        <xdr:spPr>
          <a:xfrm>
            <a:off x="142875" y="114300"/>
            <a:ext cx="3876675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    Configuración </a:t>
            </a:r>
          </a:p>
          <a:p>
            <a:pPr algn="ctr"/>
            <a:r>
              <a:rPr lang="es-CO" sz="1400" b="1"/>
              <a:t>                          Algoritmo Genético</a:t>
            </a:r>
          </a:p>
        </xdr:txBody>
      </xdr:sp>
      <xdr:pic>
        <xdr:nvPicPr>
          <xdr:cNvPr id="17" name="Imagen 16" descr="http://www.emedicalguild.com/wp-content/uploads/2013/05/gene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52425" y="219075"/>
            <a:ext cx="1155701" cy="6096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0</xdr:row>
      <xdr:rowOff>133350</xdr:rowOff>
    </xdr:from>
    <xdr:to>
      <xdr:col>2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2923760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3</xdr:col>
      <xdr:colOff>133351</xdr:colOff>
      <xdr:row>0</xdr:row>
      <xdr:rowOff>228600</xdr:rowOff>
    </xdr:from>
    <xdr:to>
      <xdr:col>3</xdr:col>
      <xdr:colOff>1085851</xdr:colOff>
      <xdr:row>0</xdr:row>
      <xdr:rowOff>837875</xdr:rowOff>
    </xdr:to>
    <xdr:grpSp>
      <xdr:nvGrpSpPr>
        <xdr:cNvPr id="8" name="11 Grupo"/>
        <xdr:cNvGrpSpPr/>
      </xdr:nvGrpSpPr>
      <xdr:grpSpPr>
        <a:xfrm>
          <a:off x="4465155" y="228600"/>
          <a:ext cx="952500" cy="609275"/>
          <a:chOff x="7241906" y="40523"/>
          <a:chExt cx="873394" cy="609275"/>
        </a:xfrm>
      </xdr:grpSpPr>
      <xdr:pic macro="[0]!GoToNavegador">
        <xdr:nvPicPr>
          <xdr:cNvPr id="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0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2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3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2</xdr:col>
      <xdr:colOff>1809750</xdr:colOff>
      <xdr:row>0</xdr:row>
      <xdr:rowOff>914400</xdr:rowOff>
    </xdr:to>
    <xdr:grpSp>
      <xdr:nvGrpSpPr>
        <xdr:cNvPr id="14" name="Grupo 13"/>
        <xdr:cNvGrpSpPr/>
      </xdr:nvGrpSpPr>
      <xdr:grpSpPr>
        <a:xfrm>
          <a:off x="133351" y="114300"/>
          <a:ext cx="3838160" cy="800100"/>
          <a:chOff x="133351" y="114300"/>
          <a:chExt cx="3838574" cy="800100"/>
        </a:xfrm>
      </xdr:grpSpPr>
      <xdr:sp macro="" textlink="">
        <xdr:nvSpPr>
          <xdr:cNvPr id="15" name="3 Rectángulo"/>
          <xdr:cNvSpPr/>
        </xdr:nvSpPr>
        <xdr:spPr>
          <a:xfrm>
            <a:off x="133351" y="114300"/>
            <a:ext cx="383857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Layout solución </a:t>
            </a:r>
          </a:p>
          <a:p>
            <a:pPr algn="ctr"/>
            <a:r>
              <a:rPr lang="es-CO" sz="1400" b="1"/>
              <a:t>      (individuo</a:t>
            </a:r>
            <a:r>
              <a:rPr lang="es-CO" sz="1400" b="1" baseline="0"/>
              <a:t> AG)</a:t>
            </a:r>
            <a:endParaRPr lang="es-CO" sz="1400" b="1"/>
          </a:p>
        </xdr:txBody>
      </xdr:sp>
      <xdr:pic>
        <xdr:nvPicPr>
          <xdr:cNvPr id="16" name="Imagen 15" descr="http://www.thewoodshop.20m.com/graphics/shop_layout1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4800" y="257175"/>
            <a:ext cx="904875" cy="5238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</xdr:col>
      <xdr:colOff>731806</xdr:colOff>
      <xdr:row>4</xdr:row>
      <xdr:rowOff>17938</xdr:rowOff>
    </xdr:from>
    <xdr:to>
      <xdr:col>2</xdr:col>
      <xdr:colOff>1301608</xdr:colOff>
      <xdr:row>9</xdr:row>
      <xdr:rowOff>113965</xdr:rowOff>
    </xdr:to>
    <xdr:grpSp>
      <xdr:nvGrpSpPr>
        <xdr:cNvPr id="25" name="Grupo 24"/>
        <xdr:cNvGrpSpPr/>
      </xdr:nvGrpSpPr>
      <xdr:grpSpPr>
        <a:xfrm>
          <a:off x="872610" y="1682742"/>
          <a:ext cx="2590759" cy="1048527"/>
          <a:chOff x="379381" y="2513488"/>
          <a:chExt cx="2589102" cy="1048527"/>
        </a:xfrm>
      </xdr:grpSpPr>
      <xdr:sp macro="" textlink="">
        <xdr:nvSpPr>
          <xdr:cNvPr id="18" name="Rectángulo 17"/>
          <xdr:cNvSpPr/>
        </xdr:nvSpPr>
        <xdr:spPr>
          <a:xfrm>
            <a:off x="923925" y="2686050"/>
            <a:ext cx="1571625" cy="742950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19" name="CuadroTexto 18"/>
              <xdr:cNvSpPr txBox="1"/>
            </xdr:nvSpPr>
            <xdr:spPr>
              <a:xfrm>
                <a:off x="379381" y="2532538"/>
                <a:ext cx="474745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es-CO" sz="11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(</m:t>
                          </m:r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𝑥</m:t>
                          </m:r>
                        </m:e>
                        <m:sub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1</m:t>
                          </m:r>
                        </m:sub>
                      </m:sSub>
                      <m:r>
                        <a:rPr lang="es-CO" sz="1100" b="0" i="1">
                          <a:latin typeface="Cambria Math" panose="02040503050406030204" pitchFamily="18" charset="0"/>
                        </a:rPr>
                        <m:t>,</m:t>
                      </m:r>
                      <m:sSub>
                        <m:sSubPr>
                          <m:ctrlP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𝑦</m:t>
                          </m:r>
                        </m:e>
                        <m:sub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1</m:t>
                          </m:r>
                        </m:sub>
                      </m:sSub>
                      <m:r>
                        <a:rPr lang="es-CO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)</m:t>
                      </m:r>
                    </m:oMath>
                  </m:oMathPara>
                </a14:m>
                <a:endParaRPr lang="es-CO" sz="1100"/>
              </a:p>
            </xdr:txBody>
          </xdr:sp>
        </mc:Choice>
        <mc:Fallback xmlns="">
          <xdr:sp macro="" textlink="">
            <xdr:nvSpPr>
              <xdr:cNvPr id="19" name="CuadroTexto 18"/>
              <xdr:cNvSpPr txBox="1"/>
            </xdr:nvSpPr>
            <xdr:spPr>
              <a:xfrm>
                <a:off x="379381" y="2532538"/>
                <a:ext cx="474745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r>
                  <a:rPr lang="es-CO" sz="1100" b="0" i="0">
                    <a:latin typeface="Cambria Math" panose="02040503050406030204" pitchFamily="18" charset="0"/>
                  </a:rPr>
                  <a:t>〖(𝑥〗_1,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𝑦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+mn-lt"/>
                    <a:ea typeface="+mn-ea"/>
                    <a:cs typeface="+mn-cs"/>
                  </a:rPr>
                  <a:t>_1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)</a:t>
                </a:r>
                <a:endParaRPr lang="es-CO" sz="1100"/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21" name="CuadroTexto 20"/>
              <xdr:cNvSpPr txBox="1"/>
            </xdr:nvSpPr>
            <xdr:spPr>
              <a:xfrm>
                <a:off x="2474881" y="2513488"/>
                <a:ext cx="480580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es-CO" sz="11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(</m:t>
                          </m:r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𝑥</m:t>
                          </m:r>
                        </m:e>
                        <m:sub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2</m:t>
                          </m:r>
                        </m:sub>
                      </m:sSub>
                      <m:r>
                        <a:rPr lang="es-CO" sz="1100" b="0" i="1">
                          <a:latin typeface="Cambria Math" panose="02040503050406030204" pitchFamily="18" charset="0"/>
                        </a:rPr>
                        <m:t>,</m:t>
                      </m:r>
                      <m:sSub>
                        <m:sSubPr>
                          <m:ctrlP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𝑦</m:t>
                          </m:r>
                        </m:e>
                        <m:sub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2</m:t>
                          </m:r>
                        </m:sub>
                      </m:sSub>
                      <m:r>
                        <a:rPr lang="es-CO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)</m:t>
                      </m:r>
                    </m:oMath>
                  </m:oMathPara>
                </a14:m>
                <a:endParaRPr lang="es-CO" sz="1100"/>
              </a:p>
            </xdr:txBody>
          </xdr:sp>
        </mc:Choice>
        <mc:Fallback xmlns="">
          <xdr:sp macro="" textlink="">
            <xdr:nvSpPr>
              <xdr:cNvPr id="21" name="CuadroTexto 20"/>
              <xdr:cNvSpPr txBox="1"/>
            </xdr:nvSpPr>
            <xdr:spPr>
              <a:xfrm>
                <a:off x="2474881" y="2513488"/>
                <a:ext cx="480580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r>
                  <a:rPr lang="es-CO" sz="1100" b="0" i="0">
                    <a:latin typeface="Cambria Math" panose="02040503050406030204" pitchFamily="18" charset="0"/>
                  </a:rPr>
                  <a:t>〖(𝑥〗_2,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𝑦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+mn-lt"/>
                    <a:ea typeface="+mn-ea"/>
                    <a:cs typeface="+mn-cs"/>
                  </a:rPr>
                  <a:t>_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2)</a:t>
                </a:r>
                <a:endParaRPr lang="es-CO" sz="1100"/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22" name="CuadroTexto 21"/>
              <xdr:cNvSpPr txBox="1"/>
            </xdr:nvSpPr>
            <xdr:spPr>
              <a:xfrm>
                <a:off x="427006" y="3389788"/>
                <a:ext cx="480580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es-CO" sz="11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(</m:t>
                          </m:r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𝑥</m:t>
                          </m:r>
                        </m:e>
                        <m:sub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3</m:t>
                          </m:r>
                        </m:sub>
                      </m:sSub>
                      <m:r>
                        <a:rPr lang="es-CO" sz="1100" b="0" i="1">
                          <a:latin typeface="Cambria Math" panose="02040503050406030204" pitchFamily="18" charset="0"/>
                        </a:rPr>
                        <m:t>,</m:t>
                      </m:r>
                      <m:sSub>
                        <m:sSubPr>
                          <m:ctrlP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𝑦</m:t>
                          </m:r>
                        </m:e>
                        <m:sub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3</m:t>
                          </m:r>
                        </m:sub>
                      </m:sSub>
                      <m:r>
                        <a:rPr lang="es-CO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)</m:t>
                      </m:r>
                    </m:oMath>
                  </m:oMathPara>
                </a14:m>
                <a:endParaRPr lang="es-CO" sz="1100"/>
              </a:p>
            </xdr:txBody>
          </xdr:sp>
        </mc:Choice>
        <mc:Fallback xmlns="">
          <xdr:sp macro="" textlink="">
            <xdr:nvSpPr>
              <xdr:cNvPr id="22" name="CuadroTexto 21"/>
              <xdr:cNvSpPr txBox="1"/>
            </xdr:nvSpPr>
            <xdr:spPr>
              <a:xfrm>
                <a:off x="427006" y="3389788"/>
                <a:ext cx="480580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r>
                  <a:rPr lang="es-CO" sz="1100" b="0" i="0">
                    <a:latin typeface="Cambria Math" panose="02040503050406030204" pitchFamily="18" charset="0"/>
                  </a:rPr>
                  <a:t>〖(𝑥〗_3,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𝑦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+mn-lt"/>
                    <a:ea typeface="+mn-ea"/>
                    <a:cs typeface="+mn-cs"/>
                  </a:rPr>
                  <a:t>_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3)</a:t>
                </a:r>
                <a:endParaRPr lang="es-CO" sz="1100"/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23" name="CuadroTexto 22"/>
              <xdr:cNvSpPr txBox="1"/>
            </xdr:nvSpPr>
            <xdr:spPr>
              <a:xfrm>
                <a:off x="2493931" y="3380263"/>
                <a:ext cx="474552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es-CO" sz="11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(</m:t>
                          </m:r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𝑥</m:t>
                          </m:r>
                        </m:e>
                        <m:sub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4</m:t>
                          </m:r>
                        </m:sub>
                      </m:sSub>
                      <m:r>
                        <a:rPr lang="es-CO" sz="1100" b="0" i="1">
                          <a:latin typeface="Cambria Math" panose="02040503050406030204" pitchFamily="18" charset="0"/>
                        </a:rPr>
                        <m:t>,</m:t>
                      </m:r>
                      <m:sSub>
                        <m:sSubPr>
                          <m:ctrlP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𝑦</m:t>
                          </m:r>
                        </m:e>
                        <m:sub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4</m:t>
                          </m:r>
                        </m:sub>
                      </m:sSub>
                      <m:r>
                        <a:rPr lang="es-CO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)</m:t>
                      </m:r>
                    </m:oMath>
                  </m:oMathPara>
                </a14:m>
                <a:endParaRPr lang="es-CO" sz="1100"/>
              </a:p>
            </xdr:txBody>
          </xdr:sp>
        </mc:Choice>
        <mc:Fallback xmlns="">
          <xdr:sp macro="" textlink="">
            <xdr:nvSpPr>
              <xdr:cNvPr id="23" name="CuadroTexto 22"/>
              <xdr:cNvSpPr txBox="1"/>
            </xdr:nvSpPr>
            <xdr:spPr>
              <a:xfrm>
                <a:off x="2493931" y="3380263"/>
                <a:ext cx="474552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r>
                  <a:rPr lang="es-CO" sz="1100" b="0" i="0">
                    <a:latin typeface="Cambria Math" panose="02040503050406030204" pitchFamily="18" charset="0"/>
                  </a:rPr>
                  <a:t>〖(𝑥〗_4,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𝑦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+mn-lt"/>
                    <a:ea typeface="+mn-ea"/>
                    <a:cs typeface="+mn-cs"/>
                  </a:rPr>
                  <a:t>_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4)</a:t>
                </a:r>
                <a:endParaRPr lang="es-CO" sz="1100"/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24" name="CuadroTexto 23"/>
              <xdr:cNvSpPr txBox="1"/>
            </xdr:nvSpPr>
            <xdr:spPr>
              <a:xfrm>
                <a:off x="1417606" y="2961163"/>
                <a:ext cx="479170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centerGroup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es-CO" sz="11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(</m:t>
                          </m:r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𝑥</m:t>
                          </m:r>
                        </m:e>
                        <m:sub>
                          <m:r>
                            <a:rPr lang="es-CO" sz="1100" b="0" i="1">
                              <a:latin typeface="Cambria Math" panose="02040503050406030204" pitchFamily="18" charset="0"/>
                            </a:rPr>
                            <m:t>𝑜</m:t>
                          </m:r>
                        </m:sub>
                      </m:sSub>
                      <m:r>
                        <a:rPr lang="es-CO" sz="1100" b="0" i="1">
                          <a:latin typeface="Cambria Math" panose="02040503050406030204" pitchFamily="18" charset="0"/>
                        </a:rPr>
                        <m:t>,</m:t>
                      </m:r>
                      <m:sSub>
                        <m:sSubPr>
                          <m:ctrlP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𝑦</m:t>
                          </m:r>
                        </m:e>
                        <m:sub>
                          <m:r>
                            <a:rPr lang="es-CO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𝑜</m:t>
                          </m:r>
                        </m:sub>
                      </m:sSub>
                      <m:r>
                        <a:rPr lang="es-CO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)</m:t>
                      </m:r>
                    </m:oMath>
                  </m:oMathPara>
                </a14:m>
                <a:endParaRPr lang="es-CO" sz="1100"/>
              </a:p>
            </xdr:txBody>
          </xdr:sp>
        </mc:Choice>
        <mc:Fallback xmlns="">
          <xdr:sp macro="" textlink="">
            <xdr:nvSpPr>
              <xdr:cNvPr id="24" name="CuadroTexto 23"/>
              <xdr:cNvSpPr txBox="1"/>
            </xdr:nvSpPr>
            <xdr:spPr>
              <a:xfrm>
                <a:off x="1417606" y="2961163"/>
                <a:ext cx="479170" cy="17222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spAutoFit/>
              </a:bodyPr>
              <a:lstStyle/>
              <a:p>
                <a:r>
                  <a:rPr lang="es-CO" sz="1100" b="0" i="0">
                    <a:latin typeface="Cambria Math" panose="02040503050406030204" pitchFamily="18" charset="0"/>
                  </a:rPr>
                  <a:t>〖(𝑥〗_𝑜,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𝑦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+mn-lt"/>
                    <a:ea typeface="+mn-ea"/>
                    <a:cs typeface="+mn-cs"/>
                  </a:rPr>
                  <a:t>_</a:t>
                </a:r>
                <a:r>
                  <a:rPr lang="es-CO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𝑜)</a:t>
                </a:r>
                <a:endParaRPr lang="es-CO" sz="1100"/>
              </a:p>
            </xdr:txBody>
          </xdr:sp>
        </mc:Fallback>
      </mc:AlternateContent>
    </xdr:grpSp>
    <xdr:clientData/>
  </xdr:twoCellAnchor>
  <xdr:twoCellAnchor>
    <xdr:from>
      <xdr:col>1</xdr:col>
      <xdr:colOff>781050</xdr:colOff>
      <xdr:row>20</xdr:row>
      <xdr:rowOff>85725</xdr:rowOff>
    </xdr:from>
    <xdr:to>
      <xdr:col>2</xdr:col>
      <xdr:colOff>1323975</xdr:colOff>
      <xdr:row>27</xdr:row>
      <xdr:rowOff>104775</xdr:rowOff>
    </xdr:to>
    <xdr:grpSp>
      <xdr:nvGrpSpPr>
        <xdr:cNvPr id="39" name="Grupo 38"/>
        <xdr:cNvGrpSpPr/>
      </xdr:nvGrpSpPr>
      <xdr:grpSpPr>
        <a:xfrm>
          <a:off x="921854" y="4798529"/>
          <a:ext cx="2563882" cy="1352550"/>
          <a:chOff x="371475" y="3390900"/>
          <a:chExt cx="2562225" cy="1352550"/>
        </a:xfrm>
      </xdr:grpSpPr>
      <xdr:sp macro="" textlink="">
        <xdr:nvSpPr>
          <xdr:cNvPr id="26" name="Rectángulo 25"/>
          <xdr:cNvSpPr/>
        </xdr:nvSpPr>
        <xdr:spPr>
          <a:xfrm>
            <a:off x="400050" y="3438525"/>
            <a:ext cx="800100" cy="2571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CO" sz="1100"/>
              <a:t>1°</a:t>
            </a:r>
          </a:p>
        </xdr:txBody>
      </xdr:sp>
      <xdr:sp macro="" textlink="">
        <xdr:nvSpPr>
          <xdr:cNvPr id="27" name="Rectángulo 26"/>
          <xdr:cNvSpPr/>
        </xdr:nvSpPr>
        <xdr:spPr>
          <a:xfrm>
            <a:off x="400050" y="3724275"/>
            <a:ext cx="523875" cy="228600"/>
          </a:xfrm>
          <a:prstGeom prst="rect">
            <a:avLst/>
          </a:prstGeom>
          <a:solidFill>
            <a:srgbClr val="92D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CO" sz="1100"/>
              <a:t>2°</a:t>
            </a:r>
          </a:p>
        </xdr:txBody>
      </xdr:sp>
      <xdr:sp macro="" textlink="">
        <xdr:nvSpPr>
          <xdr:cNvPr id="28" name="Rectángulo 27"/>
          <xdr:cNvSpPr/>
        </xdr:nvSpPr>
        <xdr:spPr>
          <a:xfrm>
            <a:off x="400050" y="3981449"/>
            <a:ext cx="647700" cy="390525"/>
          </a:xfrm>
          <a:prstGeom prst="rect">
            <a:avLst/>
          </a:prstGeom>
          <a:solidFill>
            <a:schemeClr val="accent4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CO" sz="1100"/>
              <a:t>...</a:t>
            </a:r>
          </a:p>
        </xdr:txBody>
      </xdr:sp>
      <xdr:sp macro="" textlink="">
        <xdr:nvSpPr>
          <xdr:cNvPr id="31" name="Rectángulo 30"/>
          <xdr:cNvSpPr/>
        </xdr:nvSpPr>
        <xdr:spPr>
          <a:xfrm>
            <a:off x="371475" y="3390900"/>
            <a:ext cx="876300" cy="1343025"/>
          </a:xfrm>
          <a:prstGeom prst="rect">
            <a:avLst/>
          </a:prstGeom>
          <a:noFill/>
          <a:ln w="19050">
            <a:prstDash val="sys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es-CO" sz="1100">
                <a:solidFill>
                  <a:sysClr val="windowText" lastClr="000000"/>
                </a:solidFill>
              </a:rPr>
              <a:t>Bahía 1</a:t>
            </a:r>
          </a:p>
        </xdr:txBody>
      </xdr:sp>
      <xdr:sp macro="" textlink="">
        <xdr:nvSpPr>
          <xdr:cNvPr id="32" name="Rectángulo 31"/>
          <xdr:cNvSpPr/>
        </xdr:nvSpPr>
        <xdr:spPr>
          <a:xfrm>
            <a:off x="1295400" y="3390900"/>
            <a:ext cx="876300" cy="1343025"/>
          </a:xfrm>
          <a:prstGeom prst="rect">
            <a:avLst/>
          </a:prstGeom>
          <a:noFill/>
          <a:ln w="19050">
            <a:prstDash val="sys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es-CO" sz="1100">
                <a:solidFill>
                  <a:sysClr val="windowText" lastClr="000000"/>
                </a:solidFill>
              </a:rPr>
              <a:t>Bahía 2</a:t>
            </a:r>
          </a:p>
        </xdr:txBody>
      </xdr:sp>
      <xdr:sp macro="" textlink="">
        <xdr:nvSpPr>
          <xdr:cNvPr id="33" name="Rectángulo 32"/>
          <xdr:cNvSpPr/>
        </xdr:nvSpPr>
        <xdr:spPr>
          <a:xfrm>
            <a:off x="1323975" y="3429000"/>
            <a:ext cx="695325" cy="257175"/>
          </a:xfrm>
          <a:prstGeom prst="rect">
            <a:avLst/>
          </a:prstGeom>
          <a:solidFill>
            <a:srgbClr val="FFC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34" name="Rectángulo 33"/>
          <xdr:cNvSpPr/>
        </xdr:nvSpPr>
        <xdr:spPr>
          <a:xfrm>
            <a:off x="1333499" y="3724273"/>
            <a:ext cx="771525" cy="476251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35" name="Rectángulo 34"/>
          <xdr:cNvSpPr/>
        </xdr:nvSpPr>
        <xdr:spPr>
          <a:xfrm>
            <a:off x="2257425" y="3400425"/>
            <a:ext cx="676275" cy="1343025"/>
          </a:xfrm>
          <a:prstGeom prst="rect">
            <a:avLst/>
          </a:prstGeom>
          <a:noFill/>
          <a:ln w="19050">
            <a:prstDash val="sys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es-CO" sz="1100">
                <a:solidFill>
                  <a:sysClr val="windowText" lastClr="000000"/>
                </a:solidFill>
              </a:rPr>
              <a:t>Bahía 3</a:t>
            </a:r>
          </a:p>
        </xdr:txBody>
      </xdr:sp>
      <xdr:sp macro="" textlink="">
        <xdr:nvSpPr>
          <xdr:cNvPr id="36" name="Rectángulo 35"/>
          <xdr:cNvSpPr/>
        </xdr:nvSpPr>
        <xdr:spPr>
          <a:xfrm>
            <a:off x="2295525" y="3448050"/>
            <a:ext cx="314325" cy="209550"/>
          </a:xfrm>
          <a:prstGeom prst="rect">
            <a:avLst/>
          </a:prstGeom>
          <a:solidFill>
            <a:srgbClr val="00B0F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37" name="Rectángulo 36"/>
          <xdr:cNvSpPr/>
        </xdr:nvSpPr>
        <xdr:spPr>
          <a:xfrm>
            <a:off x="2314575" y="3686174"/>
            <a:ext cx="552450" cy="247651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38" name="Rectángulo 37"/>
          <xdr:cNvSpPr/>
        </xdr:nvSpPr>
        <xdr:spPr>
          <a:xfrm>
            <a:off x="2314575" y="3971924"/>
            <a:ext cx="495300" cy="323851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5528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428625</xdr:colOff>
      <xdr:row>0</xdr:row>
      <xdr:rowOff>200025</xdr:rowOff>
    </xdr:from>
    <xdr:to>
      <xdr:col>4</xdr:col>
      <xdr:colOff>1257300</xdr:colOff>
      <xdr:row>0</xdr:row>
      <xdr:rowOff>809300</xdr:rowOff>
    </xdr:to>
    <xdr:grpSp>
      <xdr:nvGrpSpPr>
        <xdr:cNvPr id="11" name="11 Grupo"/>
        <xdr:cNvGrpSpPr/>
      </xdr:nvGrpSpPr>
      <xdr:grpSpPr>
        <a:xfrm>
          <a:off x="4819650" y="200025"/>
          <a:ext cx="828675" cy="609275"/>
          <a:chOff x="7241906" y="40523"/>
          <a:chExt cx="873394" cy="609275"/>
        </a:xfrm>
      </xdr:grpSpPr>
      <xdr:pic macro="[0]!GoToNavegador">
        <xdr:nvPicPr>
          <xdr:cNvPr id="12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3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4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5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6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3</xdr:col>
      <xdr:colOff>1200150</xdr:colOff>
      <xdr:row>0</xdr:row>
      <xdr:rowOff>914400</xdr:rowOff>
    </xdr:to>
    <xdr:grpSp>
      <xdr:nvGrpSpPr>
        <xdr:cNvPr id="18" name="Grupo 17"/>
        <xdr:cNvGrpSpPr/>
      </xdr:nvGrpSpPr>
      <xdr:grpSpPr>
        <a:xfrm>
          <a:off x="133351" y="114300"/>
          <a:ext cx="3857624" cy="800100"/>
          <a:chOff x="133351" y="114300"/>
          <a:chExt cx="3857624" cy="800100"/>
        </a:xfrm>
      </xdr:grpSpPr>
      <xdr:sp macro="" textlink="">
        <xdr:nvSpPr>
          <xdr:cNvPr id="9" name="3 Rectángulo"/>
          <xdr:cNvSpPr/>
        </xdr:nvSpPr>
        <xdr:spPr>
          <a:xfrm>
            <a:off x="133351" y="114300"/>
            <a:ext cx="385762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Población </a:t>
            </a:r>
          </a:p>
          <a:p>
            <a:pPr algn="ctr"/>
            <a:r>
              <a:rPr lang="es-CO" sz="1400" b="1"/>
              <a:t>                       AG</a:t>
            </a:r>
          </a:p>
        </xdr:txBody>
      </xdr:sp>
      <xdr:pic>
        <xdr:nvPicPr>
          <xdr:cNvPr id="17" name="Imagen 16" descr="http://www.emedicalguild.com/wp-content/uploads/2013/05/gene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23850" y="209550"/>
            <a:ext cx="1303358" cy="6096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5528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428625</xdr:colOff>
      <xdr:row>0</xdr:row>
      <xdr:rowOff>200025</xdr:rowOff>
    </xdr:from>
    <xdr:to>
      <xdr:col>4</xdr:col>
      <xdr:colOff>1257300</xdr:colOff>
      <xdr:row>0</xdr:row>
      <xdr:rowOff>809300</xdr:rowOff>
    </xdr:to>
    <xdr:grpSp>
      <xdr:nvGrpSpPr>
        <xdr:cNvPr id="11" name="11 Grupo"/>
        <xdr:cNvGrpSpPr/>
      </xdr:nvGrpSpPr>
      <xdr:grpSpPr>
        <a:xfrm>
          <a:off x="4819650" y="200025"/>
          <a:ext cx="828675" cy="609275"/>
          <a:chOff x="7241906" y="40523"/>
          <a:chExt cx="873394" cy="609275"/>
        </a:xfrm>
      </xdr:grpSpPr>
      <xdr:pic macro="[0]!GoToNavegador">
        <xdr:nvPicPr>
          <xdr:cNvPr id="12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3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4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5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6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3</xdr:col>
      <xdr:colOff>1200150</xdr:colOff>
      <xdr:row>0</xdr:row>
      <xdr:rowOff>914400</xdr:rowOff>
    </xdr:to>
    <xdr:grpSp>
      <xdr:nvGrpSpPr>
        <xdr:cNvPr id="18" name="Grupo 17"/>
        <xdr:cNvGrpSpPr/>
      </xdr:nvGrpSpPr>
      <xdr:grpSpPr>
        <a:xfrm>
          <a:off x="133351" y="114300"/>
          <a:ext cx="3857624" cy="800100"/>
          <a:chOff x="133351" y="114300"/>
          <a:chExt cx="3857624" cy="800100"/>
        </a:xfrm>
      </xdr:grpSpPr>
      <xdr:sp macro="" textlink="">
        <xdr:nvSpPr>
          <xdr:cNvPr id="9" name="3 Rectángulo"/>
          <xdr:cNvSpPr/>
        </xdr:nvSpPr>
        <xdr:spPr>
          <a:xfrm>
            <a:off x="133351" y="114300"/>
            <a:ext cx="385762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Histórico  </a:t>
            </a:r>
          </a:p>
          <a:p>
            <a:pPr algn="ctr"/>
            <a:r>
              <a:rPr lang="es-CO" sz="1400" b="1" baseline="0"/>
              <a:t>                      resultados</a:t>
            </a:r>
            <a:endParaRPr lang="es-CO" sz="1400" b="1"/>
          </a:p>
        </xdr:txBody>
      </xdr:sp>
      <xdr:pic>
        <xdr:nvPicPr>
          <xdr:cNvPr id="17" name="Imagen 16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099" y="238125"/>
            <a:ext cx="1266825" cy="51098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33337</xdr:colOff>
      <xdr:row>23</xdr:row>
      <xdr:rowOff>76200</xdr:rowOff>
    </xdr:from>
    <xdr:to>
      <xdr:col>5</xdr:col>
      <xdr:colOff>1404937</xdr:colOff>
      <xdr:row>44</xdr:row>
      <xdr:rowOff>19050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5528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428625</xdr:colOff>
      <xdr:row>0</xdr:row>
      <xdr:rowOff>200025</xdr:rowOff>
    </xdr:from>
    <xdr:to>
      <xdr:col>4</xdr:col>
      <xdr:colOff>1257300</xdr:colOff>
      <xdr:row>0</xdr:row>
      <xdr:rowOff>809300</xdr:rowOff>
    </xdr:to>
    <xdr:grpSp>
      <xdr:nvGrpSpPr>
        <xdr:cNvPr id="8" name="11 Grupo"/>
        <xdr:cNvGrpSpPr/>
      </xdr:nvGrpSpPr>
      <xdr:grpSpPr>
        <a:xfrm>
          <a:off x="4819650" y="200025"/>
          <a:ext cx="828675" cy="609275"/>
          <a:chOff x="7241906" y="40523"/>
          <a:chExt cx="873394" cy="609275"/>
        </a:xfrm>
      </xdr:grpSpPr>
      <xdr:pic macro="[0]!GoToNavegador">
        <xdr:nvPicPr>
          <xdr:cNvPr id="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0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2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3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3</xdr:col>
      <xdr:colOff>1200150</xdr:colOff>
      <xdr:row>0</xdr:row>
      <xdr:rowOff>914400</xdr:rowOff>
    </xdr:to>
    <xdr:grpSp>
      <xdr:nvGrpSpPr>
        <xdr:cNvPr id="14" name="Grupo 13"/>
        <xdr:cNvGrpSpPr/>
      </xdr:nvGrpSpPr>
      <xdr:grpSpPr>
        <a:xfrm>
          <a:off x="133351" y="114300"/>
          <a:ext cx="3857624" cy="800100"/>
          <a:chOff x="133351" y="114300"/>
          <a:chExt cx="3857624" cy="800100"/>
        </a:xfrm>
      </xdr:grpSpPr>
      <xdr:sp macro="" textlink="">
        <xdr:nvSpPr>
          <xdr:cNvPr id="15" name="3 Rectángulo"/>
          <xdr:cNvSpPr/>
        </xdr:nvSpPr>
        <xdr:spPr>
          <a:xfrm>
            <a:off x="133351" y="114300"/>
            <a:ext cx="385762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Histórico  </a:t>
            </a:r>
          </a:p>
          <a:p>
            <a:pPr algn="ctr"/>
            <a:r>
              <a:rPr lang="es-CO" sz="1400" b="1" baseline="0"/>
              <a:t>                      resultados</a:t>
            </a:r>
            <a:endParaRPr lang="es-CO" sz="1400" b="1"/>
          </a:p>
        </xdr:txBody>
      </xdr:sp>
      <xdr:pic>
        <xdr:nvPicPr>
          <xdr:cNvPr id="16" name="Imagen 15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099" y="238125"/>
            <a:ext cx="1266825" cy="51098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133350</xdr:rowOff>
    </xdr:from>
    <xdr:to>
      <xdr:col>3</xdr:col>
      <xdr:colOff>761999</xdr:colOff>
      <xdr:row>0</xdr:row>
      <xdr:rowOff>190175</xdr:rowOff>
    </xdr:to>
    <xdr:grpSp>
      <xdr:nvGrpSpPr>
        <xdr:cNvPr id="2" name="11 Grupo"/>
        <xdr:cNvGrpSpPr/>
      </xdr:nvGrpSpPr>
      <xdr:grpSpPr>
        <a:xfrm>
          <a:off x="3552824" y="133350"/>
          <a:ext cx="0" cy="56825"/>
          <a:chOff x="7241906" y="40523"/>
          <a:chExt cx="873394" cy="609275"/>
        </a:xfrm>
      </xdr:grpSpPr>
      <xdr:pic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4</xdr:col>
      <xdr:colOff>428625</xdr:colOff>
      <xdr:row>0</xdr:row>
      <xdr:rowOff>200025</xdr:rowOff>
    </xdr:from>
    <xdr:to>
      <xdr:col>4</xdr:col>
      <xdr:colOff>1257300</xdr:colOff>
      <xdr:row>0</xdr:row>
      <xdr:rowOff>809300</xdr:rowOff>
    </xdr:to>
    <xdr:grpSp>
      <xdr:nvGrpSpPr>
        <xdr:cNvPr id="8" name="11 Grupo"/>
        <xdr:cNvGrpSpPr/>
      </xdr:nvGrpSpPr>
      <xdr:grpSpPr>
        <a:xfrm>
          <a:off x="4819650" y="200025"/>
          <a:ext cx="828675" cy="609275"/>
          <a:chOff x="7241906" y="40523"/>
          <a:chExt cx="873394" cy="609275"/>
        </a:xfrm>
      </xdr:grpSpPr>
      <xdr:pic macro="[0]!GoToNavegador">
        <xdr:nvPicPr>
          <xdr:cNvPr id="9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0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1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12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13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twoCellAnchor>
    <xdr:from>
      <xdr:col>0</xdr:col>
      <xdr:colOff>133351</xdr:colOff>
      <xdr:row>0</xdr:row>
      <xdr:rowOff>114300</xdr:rowOff>
    </xdr:from>
    <xdr:to>
      <xdr:col>3</xdr:col>
      <xdr:colOff>1200150</xdr:colOff>
      <xdr:row>0</xdr:row>
      <xdr:rowOff>914400</xdr:rowOff>
    </xdr:to>
    <xdr:grpSp>
      <xdr:nvGrpSpPr>
        <xdr:cNvPr id="14" name="Grupo 13"/>
        <xdr:cNvGrpSpPr/>
      </xdr:nvGrpSpPr>
      <xdr:grpSpPr>
        <a:xfrm>
          <a:off x="133351" y="114300"/>
          <a:ext cx="3857624" cy="800100"/>
          <a:chOff x="133351" y="114300"/>
          <a:chExt cx="3857624" cy="800100"/>
        </a:xfrm>
      </xdr:grpSpPr>
      <xdr:sp macro="" textlink="">
        <xdr:nvSpPr>
          <xdr:cNvPr id="15" name="3 Rectángulo"/>
          <xdr:cNvSpPr/>
        </xdr:nvSpPr>
        <xdr:spPr>
          <a:xfrm>
            <a:off x="133351" y="114300"/>
            <a:ext cx="3857624" cy="800100"/>
          </a:xfrm>
          <a:prstGeom prst="rect">
            <a:avLst/>
          </a:prstGeom>
          <a:ln w="28575"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400" b="1"/>
              <a:t>                      Población </a:t>
            </a:r>
          </a:p>
          <a:p>
            <a:pPr algn="ctr"/>
            <a:r>
              <a:rPr lang="es-CO" sz="1400" b="1"/>
              <a:t>                       AG</a:t>
            </a:r>
          </a:p>
        </xdr:txBody>
      </xdr:sp>
      <xdr:pic>
        <xdr:nvPicPr>
          <xdr:cNvPr id="16" name="Imagen 15" descr="http://www.emedicalguild.com/wp-content/uploads/2013/05/gene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23850" y="209550"/>
            <a:ext cx="1303358" cy="6096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504827</xdr:colOff>
      <xdr:row>16</xdr:row>
      <xdr:rowOff>2</xdr:rowOff>
    </xdr:from>
    <xdr:to>
      <xdr:col>11</xdr:col>
      <xdr:colOff>323851</xdr:colOff>
      <xdr:row>23</xdr:row>
      <xdr:rowOff>28576</xdr:rowOff>
    </xdr:to>
    <xdr:pic>
      <xdr:nvPicPr>
        <xdr:cNvPr id="3" name="Icono.Escritorio"/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62827" y="3048002"/>
          <a:ext cx="1343024" cy="1362074"/>
        </a:xfrm>
        <a:prstGeom prst="rect">
          <a:avLst/>
        </a:prstGeom>
      </xdr:spPr>
    </xdr:pic>
    <xdr:clientData/>
  </xdr:twoCellAnchor>
  <xdr:twoCellAnchor editAs="oneCell">
    <xdr:from>
      <xdr:col>5</xdr:col>
      <xdr:colOff>314325</xdr:colOff>
      <xdr:row>3</xdr:row>
      <xdr:rowOff>111857</xdr:rowOff>
    </xdr:from>
    <xdr:to>
      <xdr:col>7</xdr:col>
      <xdr:colOff>400050</xdr:colOff>
      <xdr:row>11</xdr:row>
      <xdr:rowOff>104774</xdr:rowOff>
    </xdr:to>
    <xdr:pic>
      <xdr:nvPicPr>
        <xdr:cNvPr id="5" name="Icono.Torno" descr="http://www.ozarkwoodworker.com/images/AdPhotos/nardiniad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4325" y="683357"/>
          <a:ext cx="1609725" cy="1516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400050</xdr:colOff>
      <xdr:row>3</xdr:row>
      <xdr:rowOff>64182</xdr:rowOff>
    </xdr:from>
    <xdr:to>
      <xdr:col>11</xdr:col>
      <xdr:colOff>561975</xdr:colOff>
      <xdr:row>11</xdr:row>
      <xdr:rowOff>107936</xdr:rowOff>
    </xdr:to>
    <xdr:pic>
      <xdr:nvPicPr>
        <xdr:cNvPr id="6" name="Icono.Fresadora" descr="http://www.netikka.net/saulij/cnc/Versio2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635682"/>
          <a:ext cx="1685925" cy="15677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325280</xdr:colOff>
      <xdr:row>3</xdr:row>
      <xdr:rowOff>123825</xdr:rowOff>
    </xdr:from>
    <xdr:to>
      <xdr:col>3</xdr:col>
      <xdr:colOff>438150</xdr:colOff>
      <xdr:row>11</xdr:row>
      <xdr:rowOff>82720</xdr:rowOff>
    </xdr:to>
    <xdr:pic>
      <xdr:nvPicPr>
        <xdr:cNvPr id="7" name="Icono.Inyectora" descr="http://img.directindustry.com/images_di/photo-g/bi-material-vertical-hydraulic-injection-molding-machines-7260-6820657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280" y="695325"/>
          <a:ext cx="1636870" cy="148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357508</xdr:colOff>
      <xdr:row>3</xdr:row>
      <xdr:rowOff>95250</xdr:rowOff>
    </xdr:from>
    <xdr:to>
      <xdr:col>15</xdr:col>
      <xdr:colOff>259652</xdr:colOff>
      <xdr:row>11</xdr:row>
      <xdr:rowOff>76200</xdr:rowOff>
    </xdr:to>
    <xdr:pic>
      <xdr:nvPicPr>
        <xdr:cNvPr id="8" name="Icono.Taladro" descr="http://www.ozarkwoodworker.com/images/adphotos5/rf30ad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3508" y="666750"/>
          <a:ext cx="1426144" cy="1504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578059</xdr:colOff>
      <xdr:row>15</xdr:row>
      <xdr:rowOff>76200</xdr:rowOff>
    </xdr:from>
    <xdr:to>
      <xdr:col>7</xdr:col>
      <xdr:colOff>201110</xdr:colOff>
      <xdr:row>23</xdr:row>
      <xdr:rowOff>94786</xdr:rowOff>
    </xdr:to>
    <xdr:pic>
      <xdr:nvPicPr>
        <xdr:cNvPr id="10" name="Icono.Horno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88059" y="2933700"/>
          <a:ext cx="1147051" cy="1542586"/>
        </a:xfrm>
        <a:prstGeom prst="rect">
          <a:avLst/>
        </a:prstGeom>
      </xdr:spPr>
    </xdr:pic>
    <xdr:clientData/>
  </xdr:twoCellAnchor>
  <xdr:twoCellAnchor editAs="oneCell">
    <xdr:from>
      <xdr:col>5</xdr:col>
      <xdr:colOff>428624</xdr:colOff>
      <xdr:row>27</xdr:row>
      <xdr:rowOff>76200</xdr:rowOff>
    </xdr:from>
    <xdr:to>
      <xdr:col>7</xdr:col>
      <xdr:colOff>394471</xdr:colOff>
      <xdr:row>35</xdr:row>
      <xdr:rowOff>94535</xdr:rowOff>
    </xdr:to>
    <xdr:pic>
      <xdr:nvPicPr>
        <xdr:cNvPr id="16" name="Icono.Oficina.Impresora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238624" y="5219700"/>
          <a:ext cx="1489847" cy="1542335"/>
        </a:xfrm>
        <a:prstGeom prst="rect">
          <a:avLst/>
        </a:prstGeom>
      </xdr:spPr>
    </xdr:pic>
    <xdr:clientData/>
  </xdr:twoCellAnchor>
  <xdr:twoCellAnchor editAs="oneCell">
    <xdr:from>
      <xdr:col>13</xdr:col>
      <xdr:colOff>353546</xdr:colOff>
      <xdr:row>15</xdr:row>
      <xdr:rowOff>57150</xdr:rowOff>
    </xdr:from>
    <xdr:to>
      <xdr:col>15</xdr:col>
      <xdr:colOff>371475</xdr:colOff>
      <xdr:row>23</xdr:row>
      <xdr:rowOff>162194</xdr:rowOff>
    </xdr:to>
    <xdr:pic>
      <xdr:nvPicPr>
        <xdr:cNvPr id="20" name="Icono.Empaque" descr="http://jmfitempresas.com/content/themes/DynamiX/lib/scripts/timthumb.php?src=http://jmfitempresas.com/content/uploads/2012/01/movimientos-trabajo-repetitivo.jpg&amp;h=374&amp;w=354&amp;zc=0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9096" y="2914650"/>
          <a:ext cx="1541929" cy="16290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338226</xdr:colOff>
      <xdr:row>3</xdr:row>
      <xdr:rowOff>171450</xdr:rowOff>
    </xdr:from>
    <xdr:to>
      <xdr:col>19</xdr:col>
      <xdr:colOff>409575</xdr:colOff>
      <xdr:row>11</xdr:row>
      <xdr:rowOff>0</xdr:rowOff>
    </xdr:to>
    <xdr:pic>
      <xdr:nvPicPr>
        <xdr:cNvPr id="22" name="Icono.Soldadura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3292226" y="742950"/>
          <a:ext cx="1595349" cy="135255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27</xdr:row>
      <xdr:rowOff>133350</xdr:rowOff>
    </xdr:from>
    <xdr:to>
      <xdr:col>3</xdr:col>
      <xdr:colOff>485775</xdr:colOff>
      <xdr:row>35</xdr:row>
      <xdr:rowOff>0</xdr:rowOff>
    </xdr:to>
    <xdr:pic>
      <xdr:nvPicPr>
        <xdr:cNvPr id="28" name="Icono.SalaEspera"/>
        <xdr:cNvPicPr preferRelativeResize="0">
          <a:picLocks noChangeArrowheads="1"/>
        </xdr:cNvPicPr>
      </xdr:nvPicPr>
      <xdr:blipFill>
        <a:blip xmlns:r="http://schemas.openxmlformats.org/officeDocument/2006/relationships" r:embed="rId10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5276850"/>
          <a:ext cx="1704975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438150</xdr:colOff>
      <xdr:row>15</xdr:row>
      <xdr:rowOff>156127</xdr:rowOff>
    </xdr:from>
    <xdr:to>
      <xdr:col>19</xdr:col>
      <xdr:colOff>380999</xdr:colOff>
      <xdr:row>22</xdr:row>
      <xdr:rowOff>161924</xdr:rowOff>
    </xdr:to>
    <xdr:pic>
      <xdr:nvPicPr>
        <xdr:cNvPr id="30" name="Icono.Almacenaje.PT" descr="http://dc705.4shared.com/doc/HHWYTQLP/preview_html_m3e58bc23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3013627"/>
          <a:ext cx="1466849" cy="1339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371475</xdr:colOff>
      <xdr:row>27</xdr:row>
      <xdr:rowOff>66675</xdr:rowOff>
    </xdr:from>
    <xdr:to>
      <xdr:col>11</xdr:col>
      <xdr:colOff>304800</xdr:colOff>
      <xdr:row>35</xdr:row>
      <xdr:rowOff>133350</xdr:rowOff>
    </xdr:to>
    <xdr:pic>
      <xdr:nvPicPr>
        <xdr:cNvPr id="31" name="Icono.Costura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9475" y="5210175"/>
          <a:ext cx="1457325" cy="1590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247650</xdr:colOff>
      <xdr:row>27</xdr:row>
      <xdr:rowOff>57150</xdr:rowOff>
    </xdr:from>
    <xdr:to>
      <xdr:col>15</xdr:col>
      <xdr:colOff>352425</xdr:colOff>
      <xdr:row>35</xdr:row>
      <xdr:rowOff>85011</xdr:rowOff>
    </xdr:to>
    <xdr:pic>
      <xdr:nvPicPr>
        <xdr:cNvPr id="35" name="Icono.ServidorGenerico" descr="http://www.packerskromer.com/Spanish/workstation.gif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3650" y="5200650"/>
          <a:ext cx="1628775" cy="15518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523875</xdr:colOff>
      <xdr:row>28</xdr:row>
      <xdr:rowOff>38100</xdr:rowOff>
    </xdr:from>
    <xdr:to>
      <xdr:col>19</xdr:col>
      <xdr:colOff>295275</xdr:colOff>
      <xdr:row>34</xdr:row>
      <xdr:rowOff>174955</xdr:rowOff>
    </xdr:to>
    <xdr:pic>
      <xdr:nvPicPr>
        <xdr:cNvPr id="36" name="Icono.Inventario.MP" descr="http://www.gsnc.org/_newstemplate/GirlPrograms/images/inventory_000.jpg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77875" y="5372100"/>
          <a:ext cx="1295400" cy="1279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15</xdr:row>
      <xdr:rowOff>135972</xdr:rowOff>
    </xdr:from>
    <xdr:to>
      <xdr:col>3</xdr:col>
      <xdr:colOff>495300</xdr:colOff>
      <xdr:row>23</xdr:row>
      <xdr:rowOff>66249</xdr:rowOff>
    </xdr:to>
    <xdr:pic>
      <xdr:nvPicPr>
        <xdr:cNvPr id="37" name="Icono.Pulidora" descr="http://images.clipartlogo.com/files/images/40/405705/rail-polishing-machine-clip-art_f.jpg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2993472"/>
          <a:ext cx="1781175" cy="14542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180975</xdr:colOff>
      <xdr:row>33</xdr:row>
      <xdr:rowOff>152400</xdr:rowOff>
    </xdr:from>
    <xdr:to>
      <xdr:col>21</xdr:col>
      <xdr:colOff>228600</xdr:colOff>
      <xdr:row>36</xdr:row>
      <xdr:rowOff>180975</xdr:rowOff>
    </xdr:to>
    <xdr:grpSp>
      <xdr:nvGrpSpPr>
        <xdr:cNvPr id="17" name="11 Grupo"/>
        <xdr:cNvGrpSpPr/>
      </xdr:nvGrpSpPr>
      <xdr:grpSpPr>
        <a:xfrm>
          <a:off x="15625082" y="6438900"/>
          <a:ext cx="809625" cy="600075"/>
          <a:chOff x="7241906" y="40523"/>
          <a:chExt cx="873394" cy="609275"/>
        </a:xfrm>
      </xdr:grpSpPr>
      <xdr:pic macro="[0]!GoToNavegador">
        <xdr:nvPicPr>
          <xdr:cNvPr id="18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19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21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23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24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8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18</xdr:row>
      <xdr:rowOff>0</xdr:rowOff>
    </xdr:from>
    <xdr:to>
      <xdr:col>1</xdr:col>
      <xdr:colOff>923925</xdr:colOff>
      <xdr:row>21</xdr:row>
      <xdr:rowOff>28575</xdr:rowOff>
    </xdr:to>
    <xdr:grpSp>
      <xdr:nvGrpSpPr>
        <xdr:cNvPr id="2" name="11 Grupo"/>
        <xdr:cNvGrpSpPr/>
      </xdr:nvGrpSpPr>
      <xdr:grpSpPr>
        <a:xfrm>
          <a:off x="619125" y="3609975"/>
          <a:ext cx="809625" cy="600075"/>
          <a:chOff x="7241906" y="40523"/>
          <a:chExt cx="873394" cy="609275"/>
        </a:xfrm>
      </xdr:grpSpPr>
      <xdr:pic macro="[0]!GoToNavegador"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57149</xdr:rowOff>
    </xdr:from>
    <xdr:to>
      <xdr:col>0</xdr:col>
      <xdr:colOff>981075</xdr:colOff>
      <xdr:row>8</xdr:row>
      <xdr:rowOff>9524</xdr:rowOff>
    </xdr:to>
    <xdr:grpSp>
      <xdr:nvGrpSpPr>
        <xdr:cNvPr id="2" name="11 Grupo"/>
        <xdr:cNvGrpSpPr/>
      </xdr:nvGrpSpPr>
      <xdr:grpSpPr>
        <a:xfrm>
          <a:off x="171450" y="847724"/>
          <a:ext cx="809625" cy="600075"/>
          <a:chOff x="7241906" y="40523"/>
          <a:chExt cx="873394" cy="609275"/>
        </a:xfrm>
      </xdr:grpSpPr>
      <xdr:pic macro="[0]!GoToNavegador">
        <xdr:nvPicPr>
          <xdr:cNvPr id="3" name="Picture 5" descr="Green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241906" y="40523"/>
            <a:ext cx="677395" cy="474526"/>
          </a:xfrm>
          <a:prstGeom prst="rect">
            <a:avLst/>
          </a:prstGeom>
          <a:noFill/>
        </xdr:spPr>
      </xdr:pic>
      <xdr:pic macro="[0]!GoToNavegador">
        <xdr:nvPicPr>
          <xdr:cNvPr id="4" name="Picture 7" descr="Yellow Folde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7340436" y="104263"/>
            <a:ext cx="677105" cy="468533"/>
          </a:xfrm>
          <a:prstGeom prst="rect">
            <a:avLst/>
          </a:prstGeom>
          <a:noFill/>
        </xdr:spPr>
      </xdr:pic>
      <xdr:grpSp>
        <xdr:nvGrpSpPr>
          <xdr:cNvPr id="5" name="15 Grupo"/>
          <xdr:cNvGrpSpPr/>
        </xdr:nvGrpSpPr>
        <xdr:grpSpPr>
          <a:xfrm>
            <a:off x="7433650" y="173166"/>
            <a:ext cx="681650" cy="476632"/>
            <a:chOff x="7992235" y="350751"/>
            <a:chExt cx="681650" cy="476632"/>
          </a:xfrm>
        </xdr:grpSpPr>
        <xdr:sp macro="[0]!GoToNavegador" textlink="">
          <xdr:nvSpPr>
            <xdr:cNvPr id="6" name="16 CuadroTexto"/>
            <xdr:cNvSpPr txBox="1"/>
          </xdr:nvSpPr>
          <xdr:spPr>
            <a:xfrm>
              <a:off x="8067764" y="463081"/>
              <a:ext cx="526408" cy="2895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square" rtlCol="0" anchor="t">
              <a:noAutofit/>
            </a:bodyPr>
            <a:lstStyle/>
            <a:p>
              <a:pPr algn="r"/>
              <a:endParaRPr lang="es-CO" sz="1400" b="1">
                <a:solidFill>
                  <a:schemeClr val="bg1"/>
                </a:solidFill>
              </a:endParaRPr>
            </a:p>
          </xdr:txBody>
        </xdr:sp>
        <xdr:pic macro="[0]!GoToNavegador">
          <xdr:nvPicPr>
            <xdr:cNvPr id="7" name="Picture 6" descr="Blue Folder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7992235" y="350751"/>
              <a:ext cx="681650" cy="476632"/>
            </a:xfrm>
            <a:prstGeom prst="rect">
              <a:avLst/>
            </a:prstGeom>
            <a:noFill/>
          </xdr:spPr>
        </xdr:pic>
      </xdr:grpSp>
    </xdr:grpSp>
    <xdr:clientData/>
  </xdr:twoCellAnchor>
  <xdr:oneCellAnchor>
    <xdr:from>
      <xdr:col>7</xdr:col>
      <xdr:colOff>66675</xdr:colOff>
      <xdr:row>11</xdr:row>
      <xdr:rowOff>19050</xdr:rowOff>
    </xdr:from>
    <xdr:ext cx="3045531" cy="1847850"/>
    <xdr:pic>
      <xdr:nvPicPr>
        <xdr:cNvPr id="8" name="Imagen 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1943100"/>
          <a:ext cx="3045531" cy="184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hyperlink" Target="http://4.bp.blogspot.com/-IcDFxWMhb-s/Ua5RNR3PfiI/AAAAAAAACso/6ICx9KCIhTE/s1600/Postura+correcta+II.png" TargetMode="External"/><Relationship Id="rId13" Type="http://schemas.openxmlformats.org/officeDocument/2006/relationships/hyperlink" Target="http://www.gsnc.org/_newstemplate/GirlPrograms/images/inventory_000.jpg" TargetMode="External"/><Relationship Id="rId3" Type="http://schemas.openxmlformats.org/officeDocument/2006/relationships/hyperlink" Target="http://img.directindustry.com/images_di/photo-g/bi-material-vertical-hydraulic-injection-molding-machines-7260-6820657.jpg" TargetMode="External"/><Relationship Id="rId7" Type="http://schemas.openxmlformats.org/officeDocument/2006/relationships/hyperlink" Target="http://training.itcilo.it/actrav_cdrom2/es/osh/hazard/4-8.jpg" TargetMode="External"/><Relationship Id="rId12" Type="http://schemas.openxmlformats.org/officeDocument/2006/relationships/hyperlink" Target="http://www.packerskromer.com/Spanish/workstation.gif" TargetMode="External"/><Relationship Id="rId2" Type="http://schemas.openxmlformats.org/officeDocument/2006/relationships/hyperlink" Target="http://www.diy600.net/" TargetMode="External"/><Relationship Id="rId1" Type="http://schemas.openxmlformats.org/officeDocument/2006/relationships/hyperlink" Target="http://www.ozarkwoodworker.com/images/AdPhotos/nardiniad.jpg" TargetMode="External"/><Relationship Id="rId6" Type="http://schemas.openxmlformats.org/officeDocument/2006/relationships/hyperlink" Target="http://jmfitempresas.com/content/themes/DynamiX/lib/scripts/timthumb.php?src=http://jmfitempresas.com/content/uploads/2012/01/movimientos-trabajo-repetitivo.jpg&amp;h=374&amp;w=354&amp;zc=0" TargetMode="External"/><Relationship Id="rId11" Type="http://schemas.openxmlformats.org/officeDocument/2006/relationships/hyperlink" Target="http://dc705.4shared.com/doc/HHWYTQLP/preview_html_m3e58bc23.png" TargetMode="External"/><Relationship Id="rId5" Type="http://schemas.openxmlformats.org/officeDocument/2006/relationships/hyperlink" Target="http://www.instron.us/fileuniverse/live/images/Accessories/M3-SF16_D.jpg" TargetMode="External"/><Relationship Id="rId15" Type="http://schemas.openxmlformats.org/officeDocument/2006/relationships/drawing" Target="../drawings/drawing21.xml"/><Relationship Id="rId10" Type="http://schemas.openxmlformats.org/officeDocument/2006/relationships/hyperlink" Target="http://www.bibliocad.com/library/persons-seats_33840" TargetMode="External"/><Relationship Id="rId4" Type="http://schemas.openxmlformats.org/officeDocument/2006/relationships/hyperlink" Target="http://www.ozarkwoodworker.com/images/adphotos5/rf30ad.gif" TargetMode="External"/><Relationship Id="rId9" Type="http://schemas.openxmlformats.org/officeDocument/2006/relationships/hyperlink" Target="http://www.bibliocad.com/library/man-working-on-desk-with-computer_7139" TargetMode="External"/><Relationship Id="rId14" Type="http://schemas.openxmlformats.org/officeDocument/2006/relationships/hyperlink" Target="http://images.clipartlogo.com/files/images/40/405705/rail-polishing-machine-clip-art_f.jpg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92D050"/>
  </sheetPr>
  <dimension ref="A1"/>
  <sheetViews>
    <sheetView workbookViewId="0">
      <selection activeCell="C7" sqref="C7"/>
    </sheetView>
  </sheetViews>
  <sheetFormatPr baseColWidth="10" defaultRowHeight="15" x14ac:dyDescent="0.25"/>
  <cols>
    <col min="1" max="16384" width="11.42578125" style="17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0070C0"/>
  </sheetPr>
  <dimension ref="B1:AC45"/>
  <sheetViews>
    <sheetView tabSelected="1" zoomScale="70" zoomScaleNormal="70" workbookViewId="0">
      <selection activeCell="B2" sqref="B2:T2"/>
    </sheetView>
  </sheetViews>
  <sheetFormatPr baseColWidth="10" defaultRowHeight="15" x14ac:dyDescent="0.25"/>
  <cols>
    <col min="1" max="1" width="7.5703125" style="17" customWidth="1"/>
    <col min="2" max="2" width="1.140625" style="17" customWidth="1"/>
    <col min="3" max="19" width="11.42578125" style="17"/>
    <col min="20" max="21" width="1.140625" style="17" customWidth="1"/>
    <col min="22" max="22" width="21.85546875" style="17" customWidth="1"/>
    <col min="23" max="23" width="1.140625" style="17" customWidth="1"/>
    <col min="24" max="16384" width="11.42578125" style="17"/>
  </cols>
  <sheetData>
    <row r="1" spans="2:29" ht="7.5" customHeight="1" thickBot="1" x14ac:dyDescent="0.3"/>
    <row r="2" spans="2:29" ht="73.5" customHeight="1" thickBot="1" x14ac:dyDescent="0.3">
      <c r="B2" s="144" t="s">
        <v>78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6"/>
      <c r="U2" s="140"/>
      <c r="W2" s="140"/>
      <c r="X2" s="154"/>
      <c r="Y2" s="154"/>
      <c r="Z2" s="154"/>
      <c r="AA2" s="154"/>
      <c r="AB2" s="154"/>
    </row>
    <row r="3" spans="2:29" ht="7.5" customHeight="1" thickBot="1" x14ac:dyDescent="0.3">
      <c r="U3" s="140"/>
      <c r="W3" s="140"/>
      <c r="X3" s="154"/>
      <c r="Y3" s="154"/>
      <c r="Z3" s="154"/>
      <c r="AA3" s="154"/>
      <c r="AB3" s="154"/>
    </row>
    <row r="4" spans="2:29" x14ac:dyDescent="0.25">
      <c r="B4" s="141"/>
      <c r="C4" s="151" t="s">
        <v>32</v>
      </c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47"/>
      <c r="U4" s="140"/>
      <c r="V4" s="150"/>
      <c r="W4" s="140"/>
      <c r="X4" s="154"/>
      <c r="Y4" s="154"/>
      <c r="Z4" s="154"/>
      <c r="AA4" s="154"/>
      <c r="AB4" s="154"/>
      <c r="AC4" s="16"/>
    </row>
    <row r="5" spans="2:29" x14ac:dyDescent="0.25">
      <c r="B5" s="142"/>
      <c r="C5" s="25"/>
      <c r="D5" s="25"/>
      <c r="E5" s="25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148"/>
      <c r="U5" s="140"/>
      <c r="V5" s="150"/>
      <c r="W5" s="140"/>
      <c r="X5" s="154"/>
      <c r="Y5" s="154"/>
      <c r="Z5" s="154"/>
      <c r="AA5" s="154"/>
      <c r="AB5" s="154"/>
      <c r="AC5" s="16"/>
    </row>
    <row r="6" spans="2:29" x14ac:dyDescent="0.25">
      <c r="B6" s="142"/>
      <c r="C6" s="25"/>
      <c r="D6" s="25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148"/>
      <c r="U6" s="140"/>
      <c r="V6" s="150"/>
      <c r="W6" s="140"/>
      <c r="X6" s="154"/>
      <c r="Y6" s="154"/>
      <c r="Z6" s="154"/>
      <c r="AA6" s="154"/>
      <c r="AB6" s="154"/>
      <c r="AC6" s="16"/>
    </row>
    <row r="7" spans="2:29" x14ac:dyDescent="0.25">
      <c r="B7" s="142"/>
      <c r="C7" s="25"/>
      <c r="D7" s="25"/>
      <c r="E7" s="25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148"/>
      <c r="U7" s="140"/>
      <c r="V7" s="150"/>
      <c r="W7" s="140"/>
      <c r="X7" s="154"/>
      <c r="Y7" s="154"/>
      <c r="Z7" s="154"/>
      <c r="AA7" s="154"/>
      <c r="AB7" s="154"/>
      <c r="AC7" s="16"/>
    </row>
    <row r="8" spans="2:29" x14ac:dyDescent="0.25">
      <c r="B8" s="142"/>
      <c r="C8" s="25"/>
      <c r="D8" s="25"/>
      <c r="E8" s="25"/>
      <c r="F8" s="26"/>
      <c r="G8" s="25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148"/>
      <c r="U8" s="140"/>
      <c r="V8" s="150"/>
      <c r="W8" s="140"/>
      <c r="X8" s="154"/>
      <c r="Y8" s="154"/>
      <c r="Z8" s="154"/>
      <c r="AA8" s="154"/>
      <c r="AB8" s="154"/>
      <c r="AC8" s="16"/>
    </row>
    <row r="9" spans="2:29" x14ac:dyDescent="0.25">
      <c r="B9" s="142"/>
      <c r="C9" s="25"/>
      <c r="D9" s="25"/>
      <c r="E9" s="25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148"/>
      <c r="U9" s="140"/>
      <c r="V9" s="150"/>
      <c r="W9" s="140"/>
      <c r="X9" s="154"/>
      <c r="Y9" s="154"/>
      <c r="Z9" s="154"/>
      <c r="AA9" s="154"/>
      <c r="AB9" s="154"/>
      <c r="AC9" s="16"/>
    </row>
    <row r="10" spans="2:29" x14ac:dyDescent="0.25">
      <c r="B10" s="142"/>
      <c r="C10" s="25"/>
      <c r="D10" s="25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148"/>
      <c r="U10" s="140"/>
      <c r="V10" s="150"/>
      <c r="W10" s="140"/>
      <c r="X10" s="154"/>
      <c r="Y10" s="154"/>
      <c r="Z10" s="154"/>
      <c r="AA10" s="154"/>
      <c r="AB10" s="154"/>
      <c r="AC10" s="16"/>
    </row>
    <row r="11" spans="2:29" x14ac:dyDescent="0.25">
      <c r="B11" s="142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148"/>
      <c r="U11" s="140"/>
      <c r="V11" s="150"/>
      <c r="W11" s="140"/>
      <c r="X11" s="154"/>
      <c r="Y11" s="154"/>
      <c r="Z11" s="154"/>
      <c r="AA11" s="154"/>
      <c r="AB11" s="154"/>
      <c r="AC11" s="16"/>
    </row>
    <row r="12" spans="2:29" x14ac:dyDescent="0.25">
      <c r="B12" s="142"/>
      <c r="C12" s="152" t="s">
        <v>33</v>
      </c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48"/>
      <c r="U12" s="140"/>
      <c r="V12" s="150"/>
      <c r="W12" s="140"/>
      <c r="X12" s="154"/>
      <c r="Y12" s="154"/>
      <c r="Z12" s="154"/>
      <c r="AA12" s="154"/>
      <c r="AB12" s="154"/>
      <c r="AC12" s="16"/>
    </row>
    <row r="13" spans="2:29" x14ac:dyDescent="0.25">
      <c r="B13" s="142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148"/>
      <c r="U13" s="140"/>
      <c r="V13" s="150"/>
      <c r="W13" s="140"/>
      <c r="X13" s="154"/>
      <c r="Y13" s="154"/>
      <c r="Z13" s="154"/>
      <c r="AA13" s="154"/>
      <c r="AB13" s="154"/>
      <c r="AC13" s="16"/>
    </row>
    <row r="14" spans="2:29" x14ac:dyDescent="0.25">
      <c r="B14" s="142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148"/>
      <c r="U14" s="140"/>
      <c r="V14" s="150"/>
      <c r="W14" s="140"/>
      <c r="X14" s="154"/>
      <c r="Y14" s="154"/>
      <c r="Z14" s="154"/>
      <c r="AA14" s="154"/>
      <c r="AB14" s="154"/>
      <c r="AC14" s="16"/>
    </row>
    <row r="15" spans="2:29" x14ac:dyDescent="0.25">
      <c r="B15" s="142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148"/>
      <c r="U15" s="140"/>
      <c r="V15" s="150"/>
      <c r="W15" s="140"/>
      <c r="X15" s="154"/>
      <c r="Y15" s="154"/>
      <c r="Z15" s="154"/>
      <c r="AA15" s="154"/>
      <c r="AB15" s="154"/>
      <c r="AC15" s="16"/>
    </row>
    <row r="16" spans="2:29" x14ac:dyDescent="0.25">
      <c r="B16" s="142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148"/>
      <c r="U16" s="140"/>
      <c r="V16" s="150"/>
      <c r="W16" s="140"/>
      <c r="X16" s="154"/>
      <c r="Y16" s="154"/>
      <c r="Z16" s="154"/>
      <c r="AA16" s="154"/>
      <c r="AB16" s="154"/>
      <c r="AC16" s="16"/>
    </row>
    <row r="17" spans="2:29" x14ac:dyDescent="0.25">
      <c r="B17" s="142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148"/>
      <c r="U17" s="140"/>
      <c r="V17" s="150"/>
      <c r="W17" s="140"/>
      <c r="X17" s="154"/>
      <c r="Y17" s="154"/>
      <c r="Z17" s="154"/>
      <c r="AA17" s="154"/>
      <c r="AB17" s="154"/>
      <c r="AC17" s="16"/>
    </row>
    <row r="18" spans="2:29" x14ac:dyDescent="0.25">
      <c r="B18" s="142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148"/>
      <c r="U18" s="140"/>
      <c r="V18" s="150"/>
      <c r="W18" s="140"/>
      <c r="X18" s="154"/>
      <c r="Y18" s="154"/>
      <c r="Z18" s="154"/>
      <c r="AA18" s="154"/>
      <c r="AB18" s="154"/>
      <c r="AC18" s="16"/>
    </row>
    <row r="19" spans="2:29" x14ac:dyDescent="0.25">
      <c r="B19" s="142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148"/>
      <c r="U19" s="140"/>
      <c r="V19" s="150"/>
      <c r="W19" s="140"/>
      <c r="X19" s="154"/>
      <c r="Y19" s="154"/>
      <c r="Z19" s="154"/>
      <c r="AA19" s="154"/>
      <c r="AB19" s="154"/>
      <c r="AC19" s="16"/>
    </row>
    <row r="20" spans="2:29" x14ac:dyDescent="0.25">
      <c r="B20" s="142"/>
      <c r="C20" s="152" t="s">
        <v>35</v>
      </c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48"/>
      <c r="U20" s="140"/>
      <c r="V20" s="150"/>
      <c r="W20" s="140"/>
      <c r="X20" s="154"/>
      <c r="Y20" s="154"/>
      <c r="Z20" s="154"/>
      <c r="AA20" s="154"/>
      <c r="AB20" s="154"/>
      <c r="AC20" s="16"/>
    </row>
    <row r="21" spans="2:29" x14ac:dyDescent="0.25">
      <c r="B21" s="142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148"/>
      <c r="U21" s="140"/>
      <c r="V21" s="150"/>
      <c r="W21" s="140"/>
      <c r="X21" s="154"/>
      <c r="Y21" s="154"/>
      <c r="Z21" s="154"/>
      <c r="AA21" s="154"/>
      <c r="AB21" s="154"/>
      <c r="AC21" s="16"/>
    </row>
    <row r="22" spans="2:29" x14ac:dyDescent="0.25">
      <c r="B22" s="142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148"/>
      <c r="U22" s="140"/>
      <c r="V22" s="150"/>
      <c r="W22" s="140"/>
      <c r="X22" s="154"/>
      <c r="Y22" s="154"/>
      <c r="Z22" s="154"/>
      <c r="AA22" s="154"/>
      <c r="AB22" s="154"/>
      <c r="AC22" s="16"/>
    </row>
    <row r="23" spans="2:29" x14ac:dyDescent="0.25">
      <c r="B23" s="142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148"/>
      <c r="U23" s="140"/>
      <c r="V23" s="150"/>
      <c r="W23" s="140"/>
      <c r="X23" s="154"/>
      <c r="Y23" s="154"/>
      <c r="Z23" s="154"/>
      <c r="AA23" s="154"/>
      <c r="AB23" s="154"/>
      <c r="AC23" s="16"/>
    </row>
    <row r="24" spans="2:29" x14ac:dyDescent="0.25">
      <c r="B24" s="142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148"/>
      <c r="U24" s="140"/>
      <c r="V24" s="150"/>
      <c r="W24" s="140"/>
      <c r="X24" s="154"/>
      <c r="Y24" s="154"/>
      <c r="Z24" s="154"/>
      <c r="AA24" s="154"/>
      <c r="AB24" s="154"/>
      <c r="AC24" s="16"/>
    </row>
    <row r="25" spans="2:29" x14ac:dyDescent="0.25">
      <c r="B25" s="142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148"/>
      <c r="U25" s="140"/>
      <c r="V25" s="150"/>
      <c r="W25" s="140"/>
      <c r="X25" s="154"/>
      <c r="Y25" s="154"/>
      <c r="Z25" s="154"/>
      <c r="AA25" s="154"/>
      <c r="AB25" s="154"/>
      <c r="AC25" s="16"/>
    </row>
    <row r="26" spans="2:29" x14ac:dyDescent="0.25">
      <c r="B26" s="142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148"/>
      <c r="U26" s="140"/>
      <c r="V26" s="150"/>
      <c r="W26" s="140"/>
      <c r="X26" s="154"/>
      <c r="Y26" s="154"/>
      <c r="Z26" s="154"/>
      <c r="AA26" s="154"/>
      <c r="AB26" s="154"/>
      <c r="AC26" s="16"/>
    </row>
    <row r="27" spans="2:29" x14ac:dyDescent="0.25">
      <c r="B27" s="142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148"/>
      <c r="U27" s="140"/>
      <c r="V27" s="150"/>
      <c r="W27" s="140"/>
      <c r="X27" s="154"/>
      <c r="Y27" s="154"/>
      <c r="Z27" s="154"/>
      <c r="AA27" s="154"/>
      <c r="AB27" s="154"/>
      <c r="AC27" s="16"/>
    </row>
    <row r="28" spans="2:29" x14ac:dyDescent="0.25">
      <c r="B28" s="142"/>
      <c r="C28" s="152" t="s">
        <v>34</v>
      </c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2"/>
      <c r="T28" s="148"/>
      <c r="U28" s="140"/>
      <c r="V28" s="150"/>
      <c r="W28" s="140"/>
      <c r="X28" s="154"/>
      <c r="Y28" s="154"/>
      <c r="Z28" s="154"/>
      <c r="AA28" s="154"/>
      <c r="AB28" s="154"/>
      <c r="AC28" s="16"/>
    </row>
    <row r="29" spans="2:29" x14ac:dyDescent="0.25">
      <c r="B29" s="142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148"/>
      <c r="U29" s="140"/>
      <c r="V29" s="150"/>
      <c r="W29" s="140"/>
      <c r="X29" s="154"/>
      <c r="Y29" s="154"/>
      <c r="Z29" s="154"/>
      <c r="AA29" s="154"/>
      <c r="AB29" s="154"/>
      <c r="AC29" s="16"/>
    </row>
    <row r="30" spans="2:29" x14ac:dyDescent="0.25">
      <c r="B30" s="142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148"/>
      <c r="U30" s="140"/>
      <c r="V30" s="150"/>
      <c r="W30" s="140"/>
      <c r="X30" s="154"/>
      <c r="Y30" s="154"/>
      <c r="Z30" s="154"/>
      <c r="AA30" s="154"/>
      <c r="AB30" s="154"/>
      <c r="AC30" s="16"/>
    </row>
    <row r="31" spans="2:29" x14ac:dyDescent="0.25">
      <c r="B31" s="142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148"/>
      <c r="U31" s="140"/>
      <c r="V31" s="150"/>
      <c r="W31" s="140"/>
      <c r="X31" s="154"/>
      <c r="Y31" s="154"/>
      <c r="Z31" s="154"/>
      <c r="AA31" s="154"/>
      <c r="AB31" s="154"/>
      <c r="AC31" s="16"/>
    </row>
    <row r="32" spans="2:29" x14ac:dyDescent="0.25">
      <c r="B32" s="142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148"/>
      <c r="U32" s="140"/>
      <c r="V32" s="150"/>
      <c r="W32" s="140"/>
      <c r="X32" s="154"/>
      <c r="Y32" s="154"/>
      <c r="Z32" s="154"/>
      <c r="AA32" s="154"/>
      <c r="AB32" s="154"/>
      <c r="AC32" s="16"/>
    </row>
    <row r="33" spans="2:29" x14ac:dyDescent="0.25">
      <c r="B33" s="142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148"/>
      <c r="U33" s="140"/>
      <c r="V33" s="150"/>
      <c r="W33" s="140"/>
      <c r="X33" s="154"/>
      <c r="Y33" s="154"/>
      <c r="Z33" s="154"/>
      <c r="AA33" s="154"/>
      <c r="AB33" s="154"/>
      <c r="AC33" s="16"/>
    </row>
    <row r="34" spans="2:29" x14ac:dyDescent="0.25">
      <c r="B34" s="142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148"/>
      <c r="U34" s="140"/>
      <c r="V34" s="150"/>
      <c r="W34" s="140"/>
      <c r="X34" s="154"/>
      <c r="Y34" s="154"/>
      <c r="Z34" s="154"/>
      <c r="AA34" s="154"/>
      <c r="AB34" s="154"/>
      <c r="AC34" s="16"/>
    </row>
    <row r="35" spans="2:29" x14ac:dyDescent="0.25">
      <c r="B35" s="142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148"/>
      <c r="U35" s="140"/>
      <c r="V35" s="150"/>
      <c r="W35" s="140"/>
      <c r="X35" s="154"/>
      <c r="Y35" s="154"/>
      <c r="Z35" s="154"/>
      <c r="AA35" s="154"/>
      <c r="AB35" s="154"/>
      <c r="AC35" s="16"/>
    </row>
    <row r="36" spans="2:29" x14ac:dyDescent="0.25">
      <c r="B36" s="142"/>
      <c r="C36" s="152" t="s">
        <v>79</v>
      </c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48"/>
      <c r="U36" s="140"/>
      <c r="V36" s="150"/>
      <c r="W36" s="140"/>
      <c r="X36" s="154"/>
      <c r="Y36" s="154"/>
      <c r="Z36" s="154"/>
      <c r="AA36" s="154"/>
      <c r="AB36" s="154"/>
      <c r="AC36" s="16"/>
    </row>
    <row r="37" spans="2:29" x14ac:dyDescent="0.25">
      <c r="B37" s="142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148"/>
      <c r="U37" s="140"/>
      <c r="V37" s="150"/>
      <c r="W37" s="140"/>
      <c r="X37" s="154"/>
      <c r="Y37" s="154"/>
      <c r="Z37" s="154"/>
      <c r="AA37" s="154"/>
      <c r="AB37" s="154"/>
      <c r="AC37" s="16"/>
    </row>
    <row r="38" spans="2:29" x14ac:dyDescent="0.25">
      <c r="B38" s="142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148"/>
      <c r="U38" s="140"/>
      <c r="V38" s="150"/>
      <c r="W38" s="140"/>
      <c r="X38" s="154"/>
      <c r="Y38" s="154"/>
      <c r="Z38" s="154"/>
      <c r="AA38" s="154"/>
      <c r="AB38" s="154"/>
      <c r="AC38" s="16"/>
    </row>
    <row r="39" spans="2:29" x14ac:dyDescent="0.25">
      <c r="B39" s="142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148"/>
      <c r="U39" s="140"/>
      <c r="V39" s="150"/>
      <c r="W39" s="140"/>
      <c r="X39" s="154"/>
      <c r="Y39" s="154"/>
      <c r="Z39" s="154"/>
      <c r="AA39" s="154"/>
      <c r="AB39" s="154"/>
      <c r="AC39" s="16"/>
    </row>
    <row r="40" spans="2:29" x14ac:dyDescent="0.25">
      <c r="B40" s="142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148"/>
      <c r="U40" s="140"/>
      <c r="V40" s="150"/>
      <c r="W40" s="140"/>
      <c r="X40" s="154"/>
      <c r="Y40" s="154"/>
      <c r="Z40" s="154"/>
      <c r="AA40" s="154"/>
      <c r="AB40" s="154"/>
      <c r="AC40" s="16"/>
    </row>
    <row r="41" spans="2:29" x14ac:dyDescent="0.25">
      <c r="B41" s="142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148"/>
      <c r="U41" s="140"/>
      <c r="V41" s="150"/>
      <c r="W41" s="140"/>
      <c r="X41" s="154"/>
      <c r="Y41" s="154"/>
      <c r="Z41" s="154"/>
      <c r="AA41" s="154"/>
      <c r="AB41" s="154"/>
      <c r="AC41" s="16"/>
    </row>
    <row r="42" spans="2:29" x14ac:dyDescent="0.25">
      <c r="B42" s="142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148"/>
      <c r="U42" s="140"/>
      <c r="V42" s="150"/>
      <c r="W42" s="140"/>
      <c r="X42" s="154"/>
      <c r="Y42" s="154"/>
      <c r="Z42" s="154"/>
      <c r="AA42" s="154"/>
      <c r="AB42" s="154"/>
      <c r="AC42" s="16"/>
    </row>
    <row r="43" spans="2:29" x14ac:dyDescent="0.25">
      <c r="B43" s="142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148"/>
      <c r="U43" s="140"/>
      <c r="V43" s="150"/>
      <c r="W43" s="140"/>
      <c r="X43" s="154"/>
      <c r="Y43" s="154"/>
      <c r="Z43" s="154"/>
      <c r="AA43" s="154"/>
      <c r="AB43" s="154"/>
      <c r="AC43" s="16"/>
    </row>
    <row r="44" spans="2:29" ht="15.75" thickBot="1" x14ac:dyDescent="0.3">
      <c r="B44" s="14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49"/>
      <c r="U44" s="140"/>
      <c r="V44" s="150"/>
      <c r="W44" s="140"/>
      <c r="X44" s="154"/>
      <c r="Y44" s="154"/>
      <c r="Z44" s="154"/>
      <c r="AA44" s="154"/>
      <c r="AB44" s="154"/>
      <c r="AC44" s="16"/>
    </row>
    <row r="45" spans="2:29" x14ac:dyDescent="0.25"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6"/>
    </row>
  </sheetData>
  <mergeCells count="14">
    <mergeCell ref="U2:U44"/>
    <mergeCell ref="B4:B44"/>
    <mergeCell ref="B2:T2"/>
    <mergeCell ref="T4:T44"/>
    <mergeCell ref="C45:AB45"/>
    <mergeCell ref="C4:S4"/>
    <mergeCell ref="C12:S12"/>
    <mergeCell ref="C20:S20"/>
    <mergeCell ref="C28:S28"/>
    <mergeCell ref="C36:S36"/>
    <mergeCell ref="C44:S44"/>
    <mergeCell ref="V4:V44"/>
    <mergeCell ref="X2:AB44"/>
    <mergeCell ref="W2:W4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92D050"/>
  </sheetPr>
  <dimension ref="A1:I22"/>
  <sheetViews>
    <sheetView showGridLines="0" workbookViewId="0">
      <selection activeCell="E26" sqref="E26"/>
    </sheetView>
  </sheetViews>
  <sheetFormatPr baseColWidth="10" defaultRowHeight="15" x14ac:dyDescent="0.25"/>
  <cols>
    <col min="1" max="1" width="2.140625" customWidth="1"/>
    <col min="2" max="2" width="15.7109375" bestFit="1" customWidth="1"/>
    <col min="3" max="3" width="45.28515625" customWidth="1"/>
    <col min="4" max="4" width="11.42578125" customWidth="1"/>
  </cols>
  <sheetData>
    <row r="1" spans="1:9" s="12" customFormat="1" ht="86.25" customHeight="1" x14ac:dyDescent="0.2">
      <c r="A1" s="155"/>
      <c r="B1" s="155"/>
      <c r="C1" s="155"/>
      <c r="D1" s="155"/>
      <c r="E1" s="155"/>
      <c r="F1" s="10" t="s">
        <v>36</v>
      </c>
      <c r="G1" s="11">
        <f>COUNTA(C3:C50)</f>
        <v>9</v>
      </c>
      <c r="H1" s="10" t="s">
        <v>37</v>
      </c>
      <c r="I1" s="11">
        <f>COUNTIF(B3:B50,"Activa")</f>
        <v>8</v>
      </c>
    </row>
    <row r="2" spans="1:9" x14ac:dyDescent="0.25">
      <c r="B2" s="13" t="s">
        <v>42</v>
      </c>
      <c r="C2" s="13" t="s">
        <v>38</v>
      </c>
    </row>
    <row r="3" spans="1:9" x14ac:dyDescent="0.25">
      <c r="B3" s="15" t="s">
        <v>39</v>
      </c>
      <c r="C3" s="24" t="s">
        <v>43</v>
      </c>
      <c r="D3" s="14"/>
    </row>
    <row r="4" spans="1:9" x14ac:dyDescent="0.25">
      <c r="B4" s="15" t="s">
        <v>39</v>
      </c>
      <c r="C4" s="24" t="s">
        <v>44</v>
      </c>
    </row>
    <row r="5" spans="1:9" x14ac:dyDescent="0.25">
      <c r="B5" s="15" t="s">
        <v>39</v>
      </c>
      <c r="C5" s="24" t="s">
        <v>45</v>
      </c>
    </row>
    <row r="6" spans="1:9" x14ac:dyDescent="0.25">
      <c r="B6" s="15" t="s">
        <v>39</v>
      </c>
      <c r="C6" s="24" t="s">
        <v>46</v>
      </c>
    </row>
    <row r="7" spans="1:9" x14ac:dyDescent="0.25">
      <c r="B7" s="15" t="s">
        <v>39</v>
      </c>
      <c r="C7" s="24" t="s">
        <v>47</v>
      </c>
    </row>
    <row r="8" spans="1:9" x14ac:dyDescent="0.25">
      <c r="B8" s="15" t="s">
        <v>39</v>
      </c>
      <c r="C8" s="24" t="s">
        <v>48</v>
      </c>
    </row>
    <row r="9" spans="1:9" x14ac:dyDescent="0.25">
      <c r="B9" s="15" t="s">
        <v>39</v>
      </c>
      <c r="C9" s="24" t="s">
        <v>49</v>
      </c>
    </row>
    <row r="10" spans="1:9" x14ac:dyDescent="0.25">
      <c r="B10" s="15" t="s">
        <v>39</v>
      </c>
      <c r="C10" s="24" t="s">
        <v>50</v>
      </c>
    </row>
    <row r="11" spans="1:9" x14ac:dyDescent="0.25">
      <c r="B11" s="15" t="s">
        <v>40</v>
      </c>
      <c r="C11" s="24" t="s">
        <v>109</v>
      </c>
    </row>
    <row r="12" spans="1:9" x14ac:dyDescent="0.25">
      <c r="B12" s="15" t="s">
        <v>40</v>
      </c>
      <c r="C12" s="24"/>
    </row>
    <row r="13" spans="1:9" x14ac:dyDescent="0.25">
      <c r="B13" s="15" t="s">
        <v>40</v>
      </c>
      <c r="C13" s="24"/>
    </row>
    <row r="14" spans="1:9" x14ac:dyDescent="0.25">
      <c r="B14" s="15" t="s">
        <v>40</v>
      </c>
      <c r="C14" s="24"/>
    </row>
    <row r="15" spans="1:9" x14ac:dyDescent="0.25">
      <c r="B15" s="15" t="s">
        <v>40</v>
      </c>
      <c r="C15" s="24"/>
    </row>
    <row r="16" spans="1:9" x14ac:dyDescent="0.25">
      <c r="B16" s="15" t="s">
        <v>40</v>
      </c>
      <c r="C16" s="24"/>
    </row>
    <row r="17" spans="2:3" x14ac:dyDescent="0.25">
      <c r="B17" s="15" t="s">
        <v>40</v>
      </c>
      <c r="C17" s="24"/>
    </row>
    <row r="18" spans="2:3" x14ac:dyDescent="0.25">
      <c r="B18" s="15" t="s">
        <v>40</v>
      </c>
      <c r="C18" s="24"/>
    </row>
    <row r="19" spans="2:3" x14ac:dyDescent="0.25">
      <c r="B19" s="15" t="s">
        <v>40</v>
      </c>
      <c r="C19" s="24"/>
    </row>
    <row r="20" spans="2:3" x14ac:dyDescent="0.25">
      <c r="B20" s="15" t="s">
        <v>40</v>
      </c>
      <c r="C20" s="24"/>
    </row>
    <row r="21" spans="2:3" x14ac:dyDescent="0.25">
      <c r="B21" s="15" t="s">
        <v>40</v>
      </c>
      <c r="C21" s="24"/>
    </row>
    <row r="22" spans="2:3" x14ac:dyDescent="0.25">
      <c r="B22" s="15" t="s">
        <v>40</v>
      </c>
      <c r="C22" s="24"/>
    </row>
  </sheetData>
  <mergeCells count="2">
    <mergeCell ref="A1:C1"/>
    <mergeCell ref="D1:E1"/>
  </mergeCells>
  <conditionalFormatting sqref="B3">
    <cfRule type="cellIs" dxfId="39" priority="2" operator="equal">
      <formula>"Activa"</formula>
    </cfRule>
  </conditionalFormatting>
  <conditionalFormatting sqref="B4:B22">
    <cfRule type="cellIs" dxfId="38" priority="1" operator="equal">
      <formula>"Activa"</formula>
    </cfRule>
  </conditionalFormatting>
  <dataValidations count="1">
    <dataValidation type="list" allowBlank="1" showInputMessage="1" showErrorMessage="1" sqref="B3:B22">
      <formula1>Activacion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92D050"/>
  </sheetPr>
  <dimension ref="A1:I22"/>
  <sheetViews>
    <sheetView showGridLines="0" workbookViewId="0">
      <selection activeCell="B10" sqref="B10"/>
    </sheetView>
  </sheetViews>
  <sheetFormatPr baseColWidth="10" defaultRowHeight="15" x14ac:dyDescent="0.25"/>
  <cols>
    <col min="1" max="1" width="2.140625" customWidth="1"/>
    <col min="2" max="2" width="15.7109375" bestFit="1" customWidth="1"/>
    <col min="3" max="3" width="24" bestFit="1" customWidth="1"/>
    <col min="4" max="4" width="21.5703125" customWidth="1"/>
    <col min="5" max="5" width="22.85546875" customWidth="1"/>
  </cols>
  <sheetData>
    <row r="1" spans="1:9" s="12" customFormat="1" ht="86.25" customHeight="1" x14ac:dyDescent="0.2">
      <c r="A1" s="155"/>
      <c r="B1" s="155"/>
      <c r="C1" s="155"/>
      <c r="D1" s="155"/>
      <c r="F1" s="10" t="s">
        <v>51</v>
      </c>
      <c r="G1" s="11">
        <f>COUNTA(D3:D50)</f>
        <v>8</v>
      </c>
      <c r="H1" s="10" t="s">
        <v>52</v>
      </c>
      <c r="I1" s="11">
        <f>COUNTIF(B3:B50,"Activa")</f>
        <v>8</v>
      </c>
    </row>
    <row r="2" spans="1:9" x14ac:dyDescent="0.25">
      <c r="B2" s="13" t="s">
        <v>42</v>
      </c>
      <c r="C2" s="13" t="s">
        <v>38</v>
      </c>
      <c r="D2" s="13" t="s">
        <v>53</v>
      </c>
      <c r="E2" s="13" t="s">
        <v>57</v>
      </c>
    </row>
    <row r="3" spans="1:9" x14ac:dyDescent="0.25">
      <c r="B3" s="15" t="str">
        <f>IF(Estaciones!B3="","",Estaciones!B3)</f>
        <v>Activa</v>
      </c>
      <c r="C3" s="20" t="str">
        <f>IF(Estaciones!C3="","",Estaciones!C3)</f>
        <v>Estación torneado</v>
      </c>
      <c r="D3" s="21" t="s">
        <v>15</v>
      </c>
      <c r="E3" s="22" t="s">
        <v>61</v>
      </c>
    </row>
    <row r="4" spans="1:9" x14ac:dyDescent="0.25">
      <c r="B4" s="15" t="str">
        <f>IF(Estaciones!B4="","",Estaciones!B4)</f>
        <v>Activa</v>
      </c>
      <c r="C4" s="20" t="str">
        <f>IF(Estaciones!C4="","",Estaciones!C4)</f>
        <v>Estación pulido</v>
      </c>
      <c r="D4" s="23" t="s">
        <v>27</v>
      </c>
      <c r="E4" s="22" t="s">
        <v>62</v>
      </c>
    </row>
    <row r="5" spans="1:9" x14ac:dyDescent="0.25">
      <c r="B5" s="15" t="str">
        <f>IF(Estaciones!B5="","",Estaciones!B5)</f>
        <v>Activa</v>
      </c>
      <c r="C5" s="20" t="str">
        <f>IF(Estaciones!C5="","",Estaciones!C5)</f>
        <v>Estación fresado</v>
      </c>
      <c r="D5" s="21" t="s">
        <v>2</v>
      </c>
      <c r="E5" s="22" t="s">
        <v>63</v>
      </c>
    </row>
    <row r="6" spans="1:9" x14ac:dyDescent="0.25">
      <c r="B6" s="15" t="str">
        <f>IF(Estaciones!B6="","",Estaciones!B6)</f>
        <v>Activa</v>
      </c>
      <c r="C6" s="20" t="str">
        <f>IF(Estaciones!C6="","",Estaciones!C6)</f>
        <v>Estación limado</v>
      </c>
      <c r="D6" s="23" t="s">
        <v>54</v>
      </c>
      <c r="E6" s="22" t="s">
        <v>62</v>
      </c>
    </row>
    <row r="7" spans="1:9" x14ac:dyDescent="0.25">
      <c r="B7" s="15" t="str">
        <f>IF(Estaciones!B7="","",Estaciones!B7)</f>
        <v>Activa</v>
      </c>
      <c r="C7" s="20" t="str">
        <f>IF(Estaciones!C7="","",Estaciones!C7)</f>
        <v>Estación empaque</v>
      </c>
      <c r="D7" s="23" t="s">
        <v>55</v>
      </c>
      <c r="E7" s="22" t="s">
        <v>64</v>
      </c>
    </row>
    <row r="8" spans="1:9" x14ac:dyDescent="0.25">
      <c r="B8" s="15" t="str">
        <f>IF(Estaciones!B8="","",Estaciones!B8)</f>
        <v>Activa</v>
      </c>
      <c r="C8" s="20" t="str">
        <f>IF(Estaciones!C8="","",Estaciones!C8)</f>
        <v>Bodega materia prima</v>
      </c>
      <c r="D8" s="23" t="s">
        <v>68</v>
      </c>
      <c r="E8" s="22" t="s">
        <v>65</v>
      </c>
    </row>
    <row r="9" spans="1:9" x14ac:dyDescent="0.25">
      <c r="B9" s="15" t="str">
        <f>IF(Estaciones!B9="","",Estaciones!B9)</f>
        <v>Activa</v>
      </c>
      <c r="C9" s="20" t="str">
        <f>IF(Estaciones!C9="","",Estaciones!C9)</f>
        <v>Bodega producto terminado</v>
      </c>
      <c r="D9" s="23" t="s">
        <v>69</v>
      </c>
      <c r="E9" s="22" t="s">
        <v>67</v>
      </c>
    </row>
    <row r="10" spans="1:9" x14ac:dyDescent="0.25">
      <c r="B10" s="15" t="str">
        <f>IF(Estaciones!B10="","",Estaciones!B10)</f>
        <v>Activa</v>
      </c>
      <c r="C10" s="20" t="str">
        <f>IF(Estaciones!C10="","",Estaciones!C10)</f>
        <v>Estación inspección</v>
      </c>
      <c r="D10" s="23" t="s">
        <v>56</v>
      </c>
      <c r="E10" s="22" t="s">
        <v>66</v>
      </c>
    </row>
    <row r="11" spans="1:9" x14ac:dyDescent="0.25">
      <c r="B11" s="15" t="str">
        <f>IF(Estaciones!B11="","",Estaciones!B11)</f>
        <v>Inactiva</v>
      </c>
      <c r="C11" s="20" t="str">
        <f>IF(Estaciones!C11="","",Estaciones!C11)</f>
        <v>Estación reproceso</v>
      </c>
      <c r="D11" s="23"/>
      <c r="E11" s="22"/>
    </row>
    <row r="12" spans="1:9" x14ac:dyDescent="0.25">
      <c r="B12" s="15" t="str">
        <f>IF(Estaciones!B12="","",Estaciones!B12)</f>
        <v>Inactiva</v>
      </c>
      <c r="C12" s="20" t="str">
        <f>IF(Estaciones!C12="","",Estaciones!C12)</f>
        <v/>
      </c>
      <c r="D12" s="23"/>
      <c r="E12" s="22"/>
    </row>
    <row r="13" spans="1:9" x14ac:dyDescent="0.25">
      <c r="B13" s="15" t="str">
        <f>IF(Estaciones!B13="","",Estaciones!B13)</f>
        <v>Inactiva</v>
      </c>
      <c r="C13" s="20" t="str">
        <f>IF(Estaciones!C13="","",Estaciones!C13)</f>
        <v/>
      </c>
      <c r="D13" s="23"/>
      <c r="E13" s="22"/>
    </row>
    <row r="14" spans="1:9" x14ac:dyDescent="0.25">
      <c r="B14" s="15" t="str">
        <f>IF(Estaciones!B14="","",Estaciones!B14)</f>
        <v>Inactiva</v>
      </c>
      <c r="C14" s="20" t="str">
        <f>IF(Estaciones!C14="","",Estaciones!C14)</f>
        <v/>
      </c>
      <c r="D14" s="23"/>
      <c r="E14" s="22"/>
    </row>
    <row r="15" spans="1:9" x14ac:dyDescent="0.25">
      <c r="B15" s="15" t="str">
        <f>IF(Estaciones!B15="","",Estaciones!B15)</f>
        <v>Inactiva</v>
      </c>
      <c r="C15" s="20" t="str">
        <f>IF(Estaciones!C15="","",Estaciones!C15)</f>
        <v/>
      </c>
      <c r="D15" s="23"/>
      <c r="E15" s="22"/>
    </row>
    <row r="16" spans="1:9" x14ac:dyDescent="0.25">
      <c r="B16" s="15" t="str">
        <f>IF(Estaciones!B16="","",Estaciones!B16)</f>
        <v>Inactiva</v>
      </c>
      <c r="C16" s="20" t="str">
        <f>IF(Estaciones!C16="","",Estaciones!C16)</f>
        <v/>
      </c>
      <c r="D16" s="23"/>
      <c r="E16" s="22"/>
    </row>
    <row r="17" spans="2:5" x14ac:dyDescent="0.25">
      <c r="B17" s="15" t="str">
        <f>IF(Estaciones!B17="","",Estaciones!B17)</f>
        <v>Inactiva</v>
      </c>
      <c r="C17" s="20" t="str">
        <f>IF(Estaciones!C17="","",Estaciones!C17)</f>
        <v/>
      </c>
      <c r="D17" s="23"/>
      <c r="E17" s="22"/>
    </row>
    <row r="18" spans="2:5" x14ac:dyDescent="0.25">
      <c r="B18" s="15" t="str">
        <f>IF(Estaciones!B18="","",Estaciones!B18)</f>
        <v>Inactiva</v>
      </c>
      <c r="C18" s="20" t="str">
        <f>IF(Estaciones!C18="","",Estaciones!C18)</f>
        <v/>
      </c>
      <c r="D18" s="23"/>
      <c r="E18" s="22"/>
    </row>
    <row r="19" spans="2:5" x14ac:dyDescent="0.25">
      <c r="B19" s="15" t="str">
        <f>IF(Estaciones!B19="","",Estaciones!B19)</f>
        <v>Inactiva</v>
      </c>
      <c r="C19" s="20" t="str">
        <f>IF(Estaciones!C19="","",Estaciones!C19)</f>
        <v/>
      </c>
      <c r="D19" s="23"/>
      <c r="E19" s="22"/>
    </row>
    <row r="20" spans="2:5" x14ac:dyDescent="0.25">
      <c r="B20" s="15" t="str">
        <f>IF(Estaciones!B20="","",Estaciones!B20)</f>
        <v>Inactiva</v>
      </c>
      <c r="C20" s="20" t="str">
        <f>IF(Estaciones!C20="","",Estaciones!C20)</f>
        <v/>
      </c>
      <c r="D20" s="23"/>
      <c r="E20" s="22"/>
    </row>
    <row r="21" spans="2:5" x14ac:dyDescent="0.25">
      <c r="B21" s="15" t="str">
        <f>IF(Estaciones!B21="","",Estaciones!B21)</f>
        <v>Inactiva</v>
      </c>
      <c r="C21" s="20" t="str">
        <f>IF(Estaciones!C21="","",Estaciones!C21)</f>
        <v/>
      </c>
      <c r="D21" s="23"/>
      <c r="E21" s="22"/>
    </row>
    <row r="22" spans="2:5" x14ac:dyDescent="0.25">
      <c r="B22" s="15" t="str">
        <f>IF(Estaciones!B22="","",Estaciones!B22)</f>
        <v>Inactiva</v>
      </c>
      <c r="C22" s="20" t="str">
        <f>IF(Estaciones!C22="","",Estaciones!C22)</f>
        <v/>
      </c>
      <c r="D22" s="23"/>
      <c r="E22" s="22"/>
    </row>
  </sheetData>
  <mergeCells count="1">
    <mergeCell ref="A1:D1"/>
  </mergeCells>
  <conditionalFormatting sqref="B3:B22">
    <cfRule type="cellIs" dxfId="37" priority="6" operator="equal">
      <formula>"Activa"</formula>
    </cfRule>
  </conditionalFormatting>
  <conditionalFormatting sqref="E3">
    <cfRule type="cellIs" dxfId="36" priority="4" operator="equal">
      <formula>"Activa"</formula>
    </cfRule>
  </conditionalFormatting>
  <conditionalFormatting sqref="E4:E22">
    <cfRule type="cellIs" dxfId="35" priority="3" operator="equal">
      <formula>"Activa"</formula>
    </cfRule>
  </conditionalFormatting>
  <conditionalFormatting sqref="D4 D6:D22">
    <cfRule type="cellIs" dxfId="34" priority="1" operator="equal">
      <formula>"Activa"</formula>
    </cfRule>
  </conditionalFormatting>
  <dataValidations count="2">
    <dataValidation type="list" allowBlank="1" showInputMessage="1" showErrorMessage="1" sqref="B3:B22">
      <formula1>Activacion</formula1>
    </dataValidation>
    <dataValidation type="list" allowBlank="1" showInputMessage="1" showErrorMessage="1" sqref="E3:E22">
      <formula1>Iconos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5" tint="-0.249977111117893"/>
  </sheetPr>
  <dimension ref="A1:N22"/>
  <sheetViews>
    <sheetView showGridLines="0" workbookViewId="0">
      <selection activeCell="B6" sqref="B6"/>
    </sheetView>
  </sheetViews>
  <sheetFormatPr baseColWidth="10" defaultRowHeight="15" x14ac:dyDescent="0.25"/>
  <cols>
    <col min="1" max="1" width="2.140625" customWidth="1"/>
    <col min="2" max="2" width="15.7109375" bestFit="1" customWidth="1"/>
    <col min="3" max="3" width="24" bestFit="1" customWidth="1"/>
    <col min="4" max="4" width="21.5703125" customWidth="1"/>
    <col min="5" max="6" width="11.42578125" customWidth="1"/>
    <col min="7" max="7" width="16.85546875" bestFit="1" customWidth="1"/>
    <col min="9" max="9" width="15.140625" customWidth="1"/>
  </cols>
  <sheetData>
    <row r="1" spans="1:14" s="12" customFormat="1" ht="86.25" customHeight="1" x14ac:dyDescent="0.2">
      <c r="A1" s="155"/>
      <c r="B1" s="155"/>
      <c r="C1" s="155"/>
      <c r="D1" s="155"/>
      <c r="E1" s="155"/>
      <c r="F1" s="155"/>
      <c r="G1" s="10" t="s">
        <v>83</v>
      </c>
      <c r="H1" s="11">
        <f>COUNTA(E3:E50)</f>
        <v>8</v>
      </c>
      <c r="I1" s="10" t="s">
        <v>37</v>
      </c>
      <c r="J1" s="11">
        <f>COUNTIF(B3:B50,"Activa")</f>
        <v>8</v>
      </c>
    </row>
    <row r="2" spans="1:14" x14ac:dyDescent="0.25">
      <c r="B2" s="13" t="s">
        <v>42</v>
      </c>
      <c r="C2" s="13" t="s">
        <v>38</v>
      </c>
      <c r="D2" s="13" t="s">
        <v>53</v>
      </c>
      <c r="E2" s="13" t="s">
        <v>82</v>
      </c>
      <c r="F2" s="13" t="s">
        <v>81</v>
      </c>
      <c r="G2" s="13" t="s">
        <v>113</v>
      </c>
      <c r="J2" s="156" t="s">
        <v>114</v>
      </c>
      <c r="K2" s="156"/>
      <c r="L2" s="156"/>
      <c r="M2" s="156"/>
      <c r="N2" s="156"/>
    </row>
    <row r="3" spans="1:14" x14ac:dyDescent="0.25">
      <c r="B3" s="15" t="str">
        <f>IF(Estaciones!B3="","",Estaciones!B3)</f>
        <v>Activa</v>
      </c>
      <c r="C3" s="20" t="str">
        <f>IF(Servidores!C3="","",Servidores!C3)</f>
        <v>Estación torneado</v>
      </c>
      <c r="D3" s="32" t="str">
        <f>IF(Servidores!D3="","",Servidores!D3)</f>
        <v>Torno</v>
      </c>
      <c r="E3" s="33">
        <v>2</v>
      </c>
      <c r="F3" s="33">
        <v>1.5</v>
      </c>
      <c r="G3" s="66">
        <v>3</v>
      </c>
      <c r="I3" s="68"/>
      <c r="J3" s="156"/>
      <c r="K3" s="156"/>
      <c r="L3" s="156"/>
      <c r="M3" s="156"/>
      <c r="N3" s="156"/>
    </row>
    <row r="4" spans="1:14" x14ac:dyDescent="0.25">
      <c r="B4" s="15" t="str">
        <f>IF(Estaciones!B4="","",Estaciones!B4)</f>
        <v>Activa</v>
      </c>
      <c r="C4" s="20" t="str">
        <f>IF(Servidores!C4="","",Servidores!C4)</f>
        <v>Estación pulido</v>
      </c>
      <c r="D4" s="32" t="str">
        <f>IF(Servidores!D4="","",Servidores!D4)</f>
        <v>Pulidora</v>
      </c>
      <c r="E4" s="34">
        <v>3</v>
      </c>
      <c r="F4" s="33">
        <v>2</v>
      </c>
      <c r="G4" s="66">
        <v>2</v>
      </c>
    </row>
    <row r="5" spans="1:14" x14ac:dyDescent="0.25">
      <c r="B5" s="15" t="str">
        <f>IF(Estaciones!B5="","",Estaciones!B5)</f>
        <v>Activa</v>
      </c>
      <c r="C5" s="20" t="str">
        <f>IF(Servidores!C5="","",Servidores!C5)</f>
        <v>Estación fresado</v>
      </c>
      <c r="D5" s="32" t="str">
        <f>IF(Servidores!D5="","",Servidores!D5)</f>
        <v>Fresadora</v>
      </c>
      <c r="E5" s="33">
        <v>1.5</v>
      </c>
      <c r="F5" s="33">
        <v>1.3</v>
      </c>
      <c r="G5" s="66">
        <v>2</v>
      </c>
    </row>
    <row r="6" spans="1:14" x14ac:dyDescent="0.25">
      <c r="B6" s="15" t="str">
        <f>IF(Estaciones!B6="","",Estaciones!B6)</f>
        <v>Activa</v>
      </c>
      <c r="C6" s="20" t="str">
        <f>IF(Servidores!C6="","",Servidores!C6)</f>
        <v>Estación limado</v>
      </c>
      <c r="D6" s="32" t="str">
        <f>IF(Servidores!D6="","",Servidores!D6)</f>
        <v>Limadora</v>
      </c>
      <c r="E6" s="34">
        <v>2</v>
      </c>
      <c r="F6" s="33">
        <v>1.8</v>
      </c>
      <c r="G6" s="66">
        <v>2</v>
      </c>
    </row>
    <row r="7" spans="1:14" x14ac:dyDescent="0.25">
      <c r="B7" s="15" t="str">
        <f>IF(Estaciones!B7="","",Estaciones!B7)</f>
        <v>Activa</v>
      </c>
      <c r="C7" s="20" t="str">
        <f>IF(Servidores!C7="","",Servidores!C7)</f>
        <v>Estación empaque</v>
      </c>
      <c r="D7" s="32" t="str">
        <f>IF(Servidores!D7="","",Servidores!D7)</f>
        <v>Empacador</v>
      </c>
      <c r="E7" s="34">
        <v>1.5</v>
      </c>
      <c r="F7" s="33">
        <v>1.5</v>
      </c>
      <c r="G7" s="66">
        <v>1</v>
      </c>
    </row>
    <row r="8" spans="1:14" x14ac:dyDescent="0.25">
      <c r="B8" s="15" t="str">
        <f>IF(Estaciones!B8="","",Estaciones!B8)</f>
        <v>Activa</v>
      </c>
      <c r="C8" s="20" t="str">
        <f>IF(Servidores!C8="","",Servidores!C8)</f>
        <v>Bodega materia prima</v>
      </c>
      <c r="D8" s="32" t="str">
        <f>IF(Servidores!D8="","",Servidores!D8)</f>
        <v>Bodega A</v>
      </c>
      <c r="E8" s="34">
        <v>5</v>
      </c>
      <c r="F8" s="33">
        <v>4</v>
      </c>
      <c r="G8" s="66">
        <v>0</v>
      </c>
    </row>
    <row r="9" spans="1:14" x14ac:dyDescent="0.25">
      <c r="B9" s="15" t="str">
        <f>IF(Estaciones!B9="","",Estaciones!B9)</f>
        <v>Activa</v>
      </c>
      <c r="C9" s="20" t="str">
        <f>IF(Servidores!C9="","",Servidores!C9)</f>
        <v>Bodega producto terminado</v>
      </c>
      <c r="D9" s="32" t="str">
        <f>IF(Servidores!D9="","",Servidores!D9)</f>
        <v>Bodega B</v>
      </c>
      <c r="E9" s="34">
        <v>5</v>
      </c>
      <c r="F9" s="33">
        <v>3.5</v>
      </c>
      <c r="G9" s="66">
        <v>0</v>
      </c>
    </row>
    <row r="10" spans="1:14" x14ac:dyDescent="0.25">
      <c r="B10" s="15" t="str">
        <f>IF(Estaciones!B10="","",Estaciones!B10)</f>
        <v>Activa</v>
      </c>
      <c r="C10" s="20" t="str">
        <f>IF(Servidores!C10="","",Servidores!C10)</f>
        <v>Estación inspección</v>
      </c>
      <c r="D10" s="32" t="str">
        <f>IF(Servidores!D10="","",Servidores!D10)</f>
        <v>Servidor inspección</v>
      </c>
      <c r="E10" s="34">
        <v>2</v>
      </c>
      <c r="F10" s="33">
        <v>2</v>
      </c>
      <c r="G10" s="66">
        <v>2</v>
      </c>
    </row>
    <row r="11" spans="1:14" x14ac:dyDescent="0.25">
      <c r="B11" s="15" t="str">
        <f>IF(Estaciones!B11="","",Estaciones!B11)</f>
        <v>Inactiva</v>
      </c>
      <c r="C11" s="20" t="str">
        <f>IF(Servidores!C11="","",Servidores!C11)</f>
        <v>Estación reproceso</v>
      </c>
      <c r="D11" s="32" t="str">
        <f>IF(Servidores!D11="","",Servidores!D11)</f>
        <v/>
      </c>
      <c r="E11" s="34"/>
      <c r="F11" s="33"/>
      <c r="G11" s="66"/>
    </row>
    <row r="12" spans="1:14" x14ac:dyDescent="0.25">
      <c r="B12" s="15" t="str">
        <f>IF(Estaciones!B12="","",Estaciones!B12)</f>
        <v>Inactiva</v>
      </c>
      <c r="C12" s="20" t="str">
        <f>IF(Servidores!C12="","",Servidores!C12)</f>
        <v/>
      </c>
      <c r="D12" s="32" t="str">
        <f>IF(Servidores!D12="","",Servidores!D12)</f>
        <v/>
      </c>
      <c r="E12" s="34"/>
      <c r="F12" s="33"/>
      <c r="G12" s="66"/>
    </row>
    <row r="13" spans="1:14" x14ac:dyDescent="0.25">
      <c r="B13" s="15" t="str">
        <f>IF(Estaciones!B13="","",Estaciones!B13)</f>
        <v>Inactiva</v>
      </c>
      <c r="C13" s="20" t="str">
        <f>IF(Servidores!C13="","",Servidores!C13)</f>
        <v/>
      </c>
      <c r="D13" s="32" t="str">
        <f>IF(Servidores!D13="","",Servidores!D13)</f>
        <v/>
      </c>
      <c r="E13" s="34"/>
      <c r="F13" s="33"/>
      <c r="G13" s="66"/>
    </row>
    <row r="14" spans="1:14" x14ac:dyDescent="0.25">
      <c r="B14" s="15" t="str">
        <f>IF(Estaciones!B14="","",Estaciones!B14)</f>
        <v>Inactiva</v>
      </c>
      <c r="C14" s="20" t="str">
        <f>IF(Servidores!C14="","",Servidores!C14)</f>
        <v/>
      </c>
      <c r="D14" s="32" t="str">
        <f>IF(Servidores!D14="","",Servidores!D14)</f>
        <v/>
      </c>
      <c r="E14" s="34"/>
      <c r="F14" s="33"/>
      <c r="G14" s="66"/>
    </row>
    <row r="15" spans="1:14" x14ac:dyDescent="0.25">
      <c r="B15" s="15" t="str">
        <f>IF(Estaciones!B15="","",Estaciones!B15)</f>
        <v>Inactiva</v>
      </c>
      <c r="C15" s="20" t="str">
        <f>IF(Servidores!C15="","",Servidores!C15)</f>
        <v/>
      </c>
      <c r="D15" s="32" t="str">
        <f>IF(Servidores!D15="","",Servidores!D15)</f>
        <v/>
      </c>
      <c r="E15" s="34"/>
      <c r="F15" s="33"/>
      <c r="G15" s="66"/>
    </row>
    <row r="16" spans="1:14" x14ac:dyDescent="0.25">
      <c r="B16" s="15" t="str">
        <f>IF(Estaciones!B16="","",Estaciones!B16)</f>
        <v>Inactiva</v>
      </c>
      <c r="C16" s="20" t="str">
        <f>IF(Servidores!C16="","",Servidores!C16)</f>
        <v/>
      </c>
      <c r="D16" s="32" t="str">
        <f>IF(Servidores!D16="","",Servidores!D16)</f>
        <v/>
      </c>
      <c r="E16" s="34"/>
      <c r="F16" s="33"/>
      <c r="G16" s="66"/>
    </row>
    <row r="17" spans="2:7" x14ac:dyDescent="0.25">
      <c r="B17" s="15" t="str">
        <f>IF(Estaciones!B17="","",Estaciones!B17)</f>
        <v>Inactiva</v>
      </c>
      <c r="C17" s="20" t="str">
        <f>IF(Servidores!C17="","",Servidores!C17)</f>
        <v/>
      </c>
      <c r="D17" s="32" t="str">
        <f>IF(Servidores!D17="","",Servidores!D17)</f>
        <v/>
      </c>
      <c r="E17" s="34"/>
      <c r="F17" s="33"/>
      <c r="G17" s="66"/>
    </row>
    <row r="18" spans="2:7" x14ac:dyDescent="0.25">
      <c r="B18" s="15" t="str">
        <f>IF(Estaciones!B18="","",Estaciones!B18)</f>
        <v>Inactiva</v>
      </c>
      <c r="C18" s="20" t="str">
        <f>IF(Servidores!C18="","",Servidores!C18)</f>
        <v/>
      </c>
      <c r="D18" s="32" t="str">
        <f>IF(Servidores!D18="","",Servidores!D18)</f>
        <v/>
      </c>
      <c r="E18" s="34"/>
      <c r="F18" s="33"/>
      <c r="G18" s="66"/>
    </row>
    <row r="19" spans="2:7" x14ac:dyDescent="0.25">
      <c r="B19" s="15" t="str">
        <f>IF(Estaciones!B19="","",Estaciones!B19)</f>
        <v>Inactiva</v>
      </c>
      <c r="C19" s="20" t="str">
        <f>IF(Servidores!C19="","",Servidores!C19)</f>
        <v/>
      </c>
      <c r="D19" s="32" t="str">
        <f>IF(Servidores!D19="","",Servidores!D19)</f>
        <v/>
      </c>
      <c r="E19" s="34"/>
      <c r="F19" s="33"/>
      <c r="G19" s="66"/>
    </row>
    <row r="20" spans="2:7" x14ac:dyDescent="0.25">
      <c r="B20" s="15" t="str">
        <f>IF(Estaciones!B20="","",Estaciones!B20)</f>
        <v>Inactiva</v>
      </c>
      <c r="C20" s="20" t="str">
        <f>IF(Servidores!C20="","",Servidores!C20)</f>
        <v/>
      </c>
      <c r="D20" s="32" t="str">
        <f>IF(Servidores!D20="","",Servidores!D20)</f>
        <v/>
      </c>
      <c r="E20" s="34"/>
      <c r="F20" s="33"/>
      <c r="G20" s="66"/>
    </row>
    <row r="21" spans="2:7" x14ac:dyDescent="0.25">
      <c r="B21" s="15" t="str">
        <f>IF(Estaciones!B21="","",Estaciones!B21)</f>
        <v>Inactiva</v>
      </c>
      <c r="C21" s="20" t="str">
        <f>IF(Servidores!C21="","",Servidores!C21)</f>
        <v/>
      </c>
      <c r="D21" s="32" t="str">
        <f>IF(Servidores!D21="","",Servidores!D21)</f>
        <v/>
      </c>
      <c r="E21" s="34"/>
      <c r="F21" s="33"/>
      <c r="G21" s="66"/>
    </row>
    <row r="22" spans="2:7" x14ac:dyDescent="0.25">
      <c r="B22" s="15" t="str">
        <f>IF(Estaciones!B22="","",Estaciones!B22)</f>
        <v>Inactiva</v>
      </c>
      <c r="C22" s="20" t="str">
        <f>IF(Servidores!C22="","",Servidores!C22)</f>
        <v/>
      </c>
      <c r="D22" s="32" t="str">
        <f>IF(Servidores!D22="","",Servidores!D22)</f>
        <v/>
      </c>
      <c r="E22" s="34"/>
      <c r="F22" s="33"/>
      <c r="G22" s="66"/>
    </row>
  </sheetData>
  <mergeCells count="3">
    <mergeCell ref="A1:D1"/>
    <mergeCell ref="E1:F1"/>
    <mergeCell ref="J2:N3"/>
  </mergeCells>
  <conditionalFormatting sqref="B3:B22">
    <cfRule type="cellIs" dxfId="33" priority="4" operator="equal">
      <formula>"Activa"</formula>
    </cfRule>
  </conditionalFormatting>
  <conditionalFormatting sqref="D4:E4 D6:E22">
    <cfRule type="cellIs" dxfId="32" priority="1" operator="equal">
      <formula>"Activa"</formula>
    </cfRule>
  </conditionalFormatting>
  <dataValidations count="2">
    <dataValidation type="list" allowBlank="1" showInputMessage="1" showErrorMessage="1" sqref="B3:B22">
      <formula1>Activacion</formula1>
    </dataValidation>
    <dataValidation type="list" allowBlank="1" showInputMessage="1" showErrorMessage="1" sqref="G3:G22">
      <formula1>Accesibilidad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-0.249977111117893"/>
  </sheetPr>
  <dimension ref="A1:V30"/>
  <sheetViews>
    <sheetView showGridLines="0" workbookViewId="0">
      <selection activeCell="G34" sqref="G34"/>
    </sheetView>
  </sheetViews>
  <sheetFormatPr baseColWidth="10" defaultRowHeight="15" x14ac:dyDescent="0.25"/>
  <cols>
    <col min="1" max="1" width="2.140625" customWidth="1"/>
    <col min="2" max="3" width="20.28515625" customWidth="1"/>
    <col min="4" max="4" width="20.5703125" customWidth="1"/>
    <col min="5" max="22" width="20.28515625" customWidth="1"/>
  </cols>
  <sheetData>
    <row r="1" spans="1:22" s="12" customFormat="1" ht="3.75" customHeight="1" x14ac:dyDescent="0.2">
      <c r="A1" s="155"/>
      <c r="B1" s="155"/>
      <c r="C1" s="155"/>
      <c r="D1" s="155"/>
      <c r="E1" s="155"/>
      <c r="F1" s="155"/>
      <c r="G1" s="10"/>
      <c r="H1" s="11"/>
      <c r="I1" s="10"/>
      <c r="J1" s="11"/>
    </row>
    <row r="2" spans="1:22" s="12" customFormat="1" ht="12.75" x14ac:dyDescent="0.2">
      <c r="A2" s="155"/>
      <c r="B2" s="155"/>
      <c r="C2" s="155"/>
      <c r="D2" s="155"/>
      <c r="E2" s="30"/>
      <c r="F2" s="157" t="s">
        <v>85</v>
      </c>
      <c r="G2" s="157"/>
      <c r="H2" s="11"/>
      <c r="I2" s="10"/>
      <c r="J2" s="11"/>
    </row>
    <row r="3" spans="1:22" s="12" customFormat="1" ht="11.25" customHeight="1" x14ac:dyDescent="0.2">
      <c r="A3" s="155"/>
      <c r="B3" s="155"/>
      <c r="C3" s="155"/>
      <c r="D3" s="155"/>
      <c r="E3" s="30"/>
      <c r="F3" s="24" t="s">
        <v>80</v>
      </c>
      <c r="G3" s="40" t="s">
        <v>92</v>
      </c>
      <c r="H3" s="11"/>
      <c r="I3" s="10"/>
      <c r="J3" s="11"/>
    </row>
    <row r="4" spans="1:22" s="12" customFormat="1" ht="11.25" customHeight="1" x14ac:dyDescent="0.2">
      <c r="A4" s="155"/>
      <c r="B4" s="155"/>
      <c r="C4" s="155"/>
      <c r="D4" s="155"/>
      <c r="E4" s="30"/>
      <c r="F4" s="24" t="s">
        <v>86</v>
      </c>
      <c r="G4" s="41" t="s">
        <v>91</v>
      </c>
      <c r="H4" s="11"/>
      <c r="I4" s="10"/>
      <c r="J4" s="11"/>
    </row>
    <row r="5" spans="1:22" s="12" customFormat="1" ht="11.25" customHeight="1" x14ac:dyDescent="0.2">
      <c r="A5" s="155"/>
      <c r="B5" s="155"/>
      <c r="C5" s="155"/>
      <c r="D5" s="155"/>
      <c r="E5" s="30"/>
      <c r="F5" s="24" t="s">
        <v>87</v>
      </c>
      <c r="G5" s="42" t="s">
        <v>93</v>
      </c>
      <c r="H5" s="11"/>
      <c r="I5" s="10"/>
      <c r="J5" s="11"/>
    </row>
    <row r="6" spans="1:22" s="12" customFormat="1" ht="11.25" customHeight="1" x14ac:dyDescent="0.2">
      <c r="A6" s="155"/>
      <c r="B6" s="155"/>
      <c r="C6" s="155"/>
      <c r="D6" s="155"/>
      <c r="E6" s="30"/>
      <c r="F6" s="24" t="s">
        <v>88</v>
      </c>
      <c r="G6" s="43" t="s">
        <v>94</v>
      </c>
      <c r="H6" s="11"/>
      <c r="I6" s="10"/>
      <c r="J6" s="11"/>
    </row>
    <row r="7" spans="1:22" s="12" customFormat="1" ht="11.25" customHeight="1" x14ac:dyDescent="0.2">
      <c r="A7" s="155"/>
      <c r="B7" s="155"/>
      <c r="C7" s="155"/>
      <c r="D7" s="155"/>
      <c r="E7" s="30"/>
      <c r="F7" s="24" t="s">
        <v>89</v>
      </c>
      <c r="G7" s="44" t="s">
        <v>95</v>
      </c>
      <c r="H7" s="11"/>
      <c r="I7" s="10"/>
      <c r="J7" s="11"/>
    </row>
    <row r="8" spans="1:22" s="12" customFormat="1" ht="11.25" customHeight="1" x14ac:dyDescent="0.2">
      <c r="A8" s="155"/>
      <c r="B8" s="155"/>
      <c r="C8" s="155"/>
      <c r="D8" s="155"/>
      <c r="E8" s="30"/>
      <c r="F8" s="24" t="s">
        <v>90</v>
      </c>
      <c r="G8" s="46" t="s">
        <v>96</v>
      </c>
      <c r="H8" s="11"/>
      <c r="I8" s="10"/>
      <c r="J8" s="11"/>
    </row>
    <row r="9" spans="1:22" s="12" customFormat="1" ht="3.75" customHeight="1" x14ac:dyDescent="0.2">
      <c r="A9" s="30"/>
      <c r="B9" s="30"/>
      <c r="C9" s="30"/>
      <c r="D9" s="30"/>
      <c r="E9" s="30"/>
      <c r="F9" s="30"/>
      <c r="G9" s="10"/>
      <c r="H9" s="11"/>
      <c r="I9" s="10"/>
      <c r="J9" s="11"/>
    </row>
    <row r="10" spans="1:22" x14ac:dyDescent="0.25">
      <c r="B10" s="13" t="s">
        <v>97</v>
      </c>
      <c r="C10" s="49" t="str">
        <f ca="1">OFFSET($B$10,COLUMN(C10)-2,0)</f>
        <v>Estación torneado</v>
      </c>
      <c r="D10" s="49" t="str">
        <f t="shared" ref="D10:V10" ca="1" si="0">OFFSET($B$10,COLUMN(D10)-2,0)</f>
        <v>Estación pulido</v>
      </c>
      <c r="E10" s="49" t="str">
        <f t="shared" ca="1" si="0"/>
        <v>Estación fresado</v>
      </c>
      <c r="F10" s="49" t="str">
        <f t="shared" ca="1" si="0"/>
        <v>Estación limado</v>
      </c>
      <c r="G10" s="49" t="str">
        <f t="shared" ca="1" si="0"/>
        <v>Estación empaque</v>
      </c>
      <c r="H10" s="49" t="str">
        <f t="shared" ca="1" si="0"/>
        <v>Bodega materia prima</v>
      </c>
      <c r="I10" s="49" t="str">
        <f t="shared" ca="1" si="0"/>
        <v>Bodega producto terminado</v>
      </c>
      <c r="J10" s="49" t="str">
        <f t="shared" ca="1" si="0"/>
        <v>Estación inspección</v>
      </c>
      <c r="K10" s="49" t="str">
        <f t="shared" ca="1" si="0"/>
        <v>Estación reproceso</v>
      </c>
      <c r="L10" s="49" t="str">
        <f t="shared" ca="1" si="0"/>
        <v/>
      </c>
      <c r="M10" s="49" t="str">
        <f t="shared" ca="1" si="0"/>
        <v/>
      </c>
      <c r="N10" s="49" t="str">
        <f t="shared" ca="1" si="0"/>
        <v/>
      </c>
      <c r="O10" s="49" t="str">
        <f t="shared" ca="1" si="0"/>
        <v/>
      </c>
      <c r="P10" s="49" t="str">
        <f t="shared" ca="1" si="0"/>
        <v/>
      </c>
      <c r="Q10" s="49" t="str">
        <f t="shared" ca="1" si="0"/>
        <v/>
      </c>
      <c r="R10" s="49" t="str">
        <f t="shared" ca="1" si="0"/>
        <v/>
      </c>
      <c r="S10" s="49" t="str">
        <f t="shared" ca="1" si="0"/>
        <v/>
      </c>
      <c r="T10" s="49" t="str">
        <f t="shared" ca="1" si="0"/>
        <v/>
      </c>
      <c r="U10" s="49" t="str">
        <f t="shared" ca="1" si="0"/>
        <v/>
      </c>
      <c r="V10" s="49" t="str">
        <f t="shared" ca="1" si="0"/>
        <v/>
      </c>
    </row>
    <row r="11" spans="1:22" x14ac:dyDescent="0.25">
      <c r="B11" s="48" t="str">
        <f>IF(Servidores!C3="","",Servidores!C3)</f>
        <v>Estación torneado</v>
      </c>
      <c r="C11" s="47"/>
      <c r="D11" s="45" t="s">
        <v>93</v>
      </c>
      <c r="E11" s="45" t="s">
        <v>93</v>
      </c>
      <c r="F11" s="45" t="s">
        <v>93</v>
      </c>
      <c r="G11" s="45" t="s">
        <v>95</v>
      </c>
      <c r="H11" s="45" t="s">
        <v>96</v>
      </c>
      <c r="I11" s="45" t="s">
        <v>95</v>
      </c>
      <c r="J11" s="45" t="s">
        <v>95</v>
      </c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</row>
    <row r="12" spans="1:22" x14ac:dyDescent="0.25">
      <c r="B12" s="48" t="str">
        <f>IF(Servidores!C4="","",Servidores!C4)</f>
        <v>Estación pulido</v>
      </c>
      <c r="C12" s="47"/>
      <c r="D12" s="47"/>
      <c r="E12" s="45" t="s">
        <v>93</v>
      </c>
      <c r="F12" s="45" t="s">
        <v>93</v>
      </c>
      <c r="G12" s="45" t="s">
        <v>95</v>
      </c>
      <c r="H12" s="45" t="s">
        <v>95</v>
      </c>
      <c r="I12" s="45" t="s">
        <v>95</v>
      </c>
      <c r="J12" s="45" t="s">
        <v>95</v>
      </c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</row>
    <row r="13" spans="1:22" x14ac:dyDescent="0.25">
      <c r="B13" s="48" t="str">
        <f>IF(Servidores!C5="","",Servidores!C5)</f>
        <v>Estación fresado</v>
      </c>
      <c r="C13" s="47"/>
      <c r="D13" s="47"/>
      <c r="E13" s="47"/>
      <c r="F13" s="45" t="s">
        <v>93</v>
      </c>
      <c r="G13" s="45" t="s">
        <v>95</v>
      </c>
      <c r="H13" s="45" t="s">
        <v>95</v>
      </c>
      <c r="I13" s="45" t="s">
        <v>95</v>
      </c>
      <c r="J13" s="45" t="s">
        <v>95</v>
      </c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</row>
    <row r="14" spans="1:22" x14ac:dyDescent="0.25">
      <c r="B14" s="48" t="str">
        <f>IF(Servidores!C6="","",Servidores!C6)</f>
        <v>Estación limado</v>
      </c>
      <c r="C14" s="47"/>
      <c r="D14" s="47"/>
      <c r="E14" s="47"/>
      <c r="F14" s="47"/>
      <c r="G14" s="45" t="s">
        <v>95</v>
      </c>
      <c r="H14" s="45" t="s">
        <v>95</v>
      </c>
      <c r="I14" s="45" t="s">
        <v>95</v>
      </c>
      <c r="J14" s="45" t="s">
        <v>91</v>
      </c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</row>
    <row r="15" spans="1:22" x14ac:dyDescent="0.25">
      <c r="B15" s="48" t="str">
        <f>IF(Servidores!C7="","",Servidores!C7)</f>
        <v>Estación empaque</v>
      </c>
      <c r="C15" s="47"/>
      <c r="D15" s="47"/>
      <c r="E15" s="47"/>
      <c r="F15" s="47"/>
      <c r="G15" s="47"/>
      <c r="H15" s="45" t="s">
        <v>95</v>
      </c>
      <c r="I15" s="45" t="s">
        <v>92</v>
      </c>
      <c r="J15" s="45" t="s">
        <v>91</v>
      </c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</row>
    <row r="16" spans="1:22" x14ac:dyDescent="0.25">
      <c r="B16" s="48" t="str">
        <f>IF(Servidores!C8="","",Servidores!C8)</f>
        <v>Bodega materia prima</v>
      </c>
      <c r="C16" s="47"/>
      <c r="D16" s="47"/>
      <c r="E16" s="47"/>
      <c r="F16" s="47"/>
      <c r="G16" s="47"/>
      <c r="H16" s="47"/>
      <c r="I16" s="45" t="s">
        <v>95</v>
      </c>
      <c r="J16" s="45" t="s">
        <v>95</v>
      </c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2:22" x14ac:dyDescent="0.25">
      <c r="B17" s="48" t="str">
        <f>IF(Servidores!C9="","",Servidores!C9)</f>
        <v>Bodega producto terminado</v>
      </c>
      <c r="C17" s="47"/>
      <c r="D17" s="47"/>
      <c r="E17" s="47"/>
      <c r="F17" s="47"/>
      <c r="G17" s="47"/>
      <c r="H17" s="47"/>
      <c r="I17" s="47"/>
      <c r="J17" s="45" t="s">
        <v>95</v>
      </c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</row>
    <row r="18" spans="2:22" x14ac:dyDescent="0.25">
      <c r="B18" s="48" t="str">
        <f>IF(Servidores!C10="","",Servidores!C10)</f>
        <v>Estación inspección</v>
      </c>
      <c r="C18" s="47"/>
      <c r="D18" s="47"/>
      <c r="E18" s="47"/>
      <c r="F18" s="47"/>
      <c r="G18" s="47"/>
      <c r="H18" s="47"/>
      <c r="I18" s="47"/>
      <c r="J18" s="47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</row>
    <row r="19" spans="2:22" x14ac:dyDescent="0.25">
      <c r="B19" s="48" t="str">
        <f>IF(Servidores!C11="","",Servidores!C11)</f>
        <v>Estación reproceso</v>
      </c>
      <c r="C19" s="47"/>
      <c r="D19" s="47"/>
      <c r="E19" s="47"/>
      <c r="F19" s="47"/>
      <c r="G19" s="47"/>
      <c r="H19" s="47"/>
      <c r="I19" s="47"/>
      <c r="J19" s="47"/>
      <c r="K19" s="47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</row>
    <row r="20" spans="2:22" x14ac:dyDescent="0.25">
      <c r="B20" s="48" t="str">
        <f>IF(Servidores!C12="","",Servidores!C12)</f>
        <v/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5"/>
      <c r="N20" s="45"/>
      <c r="O20" s="45"/>
      <c r="P20" s="45"/>
      <c r="Q20" s="45"/>
      <c r="R20" s="45"/>
      <c r="S20" s="45"/>
      <c r="T20" s="45"/>
      <c r="U20" s="45"/>
      <c r="V20" s="45"/>
    </row>
    <row r="21" spans="2:22" x14ac:dyDescent="0.25">
      <c r="B21" s="48" t="str">
        <f>IF(Servidores!C13="","",Servidores!C13)</f>
        <v/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5"/>
      <c r="O21" s="45"/>
      <c r="P21" s="45"/>
      <c r="Q21" s="45"/>
      <c r="R21" s="45"/>
      <c r="S21" s="45"/>
      <c r="T21" s="45"/>
      <c r="U21" s="45"/>
      <c r="V21" s="45"/>
    </row>
    <row r="22" spans="2:22" x14ac:dyDescent="0.25">
      <c r="B22" s="48" t="str">
        <f>IF(Servidores!C14="","",Servidores!C14)</f>
        <v/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5"/>
      <c r="P22" s="45"/>
      <c r="Q22" s="45"/>
      <c r="R22" s="45"/>
      <c r="S22" s="45"/>
      <c r="T22" s="45"/>
      <c r="U22" s="45"/>
      <c r="V22" s="45"/>
    </row>
    <row r="23" spans="2:22" x14ac:dyDescent="0.25">
      <c r="B23" s="48" t="str">
        <f>IF(Servidores!C15="","",Servidores!C15)</f>
        <v/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5"/>
      <c r="Q23" s="45"/>
      <c r="R23" s="45"/>
      <c r="S23" s="45"/>
      <c r="T23" s="45"/>
      <c r="U23" s="45"/>
      <c r="V23" s="45"/>
    </row>
    <row r="24" spans="2:22" x14ac:dyDescent="0.25">
      <c r="B24" s="48" t="str">
        <f>IF(Servidores!C16="","",Servidores!C16)</f>
        <v/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5"/>
      <c r="R24" s="45"/>
      <c r="S24" s="45"/>
      <c r="T24" s="45"/>
      <c r="U24" s="45"/>
      <c r="V24" s="45"/>
    </row>
    <row r="25" spans="2:22" x14ac:dyDescent="0.25">
      <c r="B25" s="48" t="str">
        <f>IF(Servidores!C17="","",Servidores!C17)</f>
        <v/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5"/>
      <c r="S25" s="45"/>
      <c r="T25" s="45"/>
      <c r="U25" s="45"/>
      <c r="V25" s="45"/>
    </row>
    <row r="26" spans="2:22" x14ac:dyDescent="0.25">
      <c r="B26" s="48" t="str">
        <f>IF(Servidores!C18="","",Servidores!C18)</f>
        <v/>
      </c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5"/>
      <c r="T26" s="45"/>
      <c r="U26" s="45"/>
      <c r="V26" s="45"/>
    </row>
    <row r="27" spans="2:22" x14ac:dyDescent="0.25">
      <c r="B27" s="48" t="str">
        <f>IF(Servidores!C19="","",Servidores!C19)</f>
        <v/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5"/>
      <c r="U27" s="45"/>
      <c r="V27" s="45"/>
    </row>
    <row r="28" spans="2:22" x14ac:dyDescent="0.25">
      <c r="B28" s="48" t="str">
        <f>IF(Servidores!C20="","",Servidores!C20)</f>
        <v/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5"/>
      <c r="V28" s="45"/>
    </row>
    <row r="29" spans="2:22" x14ac:dyDescent="0.25">
      <c r="B29" s="48" t="str">
        <f>IF(Servidores!C21="","",Servidores!C21)</f>
        <v/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5"/>
    </row>
    <row r="30" spans="2:22" x14ac:dyDescent="0.25">
      <c r="B30" s="48" t="str">
        <f>IF(Servidores!C22="","",Servidores!C22)</f>
        <v/>
      </c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</row>
  </sheetData>
  <mergeCells count="4">
    <mergeCell ref="A1:D1"/>
    <mergeCell ref="E1:F1"/>
    <mergeCell ref="F2:G2"/>
    <mergeCell ref="A2:D8"/>
  </mergeCells>
  <conditionalFormatting sqref="D12:E12 D14:E30">
    <cfRule type="cellIs" dxfId="31" priority="37" operator="equal">
      <formula>"Activa"</formula>
    </cfRule>
  </conditionalFormatting>
  <dataValidations count="1">
    <dataValidation type="list" allowBlank="1" showInputMessage="1" showErrorMessage="1" sqref="C11:V30">
      <formula1>RelacionProximidad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theme="5" tint="-0.249977111117893"/>
  </sheetPr>
  <dimension ref="A1:V30"/>
  <sheetViews>
    <sheetView showGridLines="0" zoomScale="115" zoomScaleNormal="115" workbookViewId="0">
      <selection activeCell="G20" sqref="G20"/>
    </sheetView>
  </sheetViews>
  <sheetFormatPr baseColWidth="10" defaultRowHeight="15" x14ac:dyDescent="0.25"/>
  <cols>
    <col min="1" max="1" width="2.140625" customWidth="1"/>
    <col min="2" max="3" width="20.28515625" customWidth="1"/>
    <col min="4" max="4" width="20.5703125" customWidth="1"/>
    <col min="5" max="22" width="20.28515625" customWidth="1"/>
  </cols>
  <sheetData>
    <row r="1" spans="1:22" s="12" customFormat="1" ht="3.75" customHeight="1" x14ac:dyDescent="0.2">
      <c r="A1" s="155"/>
      <c r="B1" s="155"/>
      <c r="C1" s="155"/>
      <c r="D1" s="155"/>
      <c r="E1" s="155"/>
      <c r="F1" s="155"/>
      <c r="G1" s="10"/>
      <c r="H1" s="11"/>
      <c r="I1" s="10"/>
      <c r="J1" s="11"/>
    </row>
    <row r="2" spans="1:22" s="12" customFormat="1" ht="12.75" customHeight="1" x14ac:dyDescent="0.2">
      <c r="A2" s="155"/>
      <c r="B2" s="155"/>
      <c r="C2" s="155"/>
      <c r="D2" s="155"/>
      <c r="E2" s="30"/>
      <c r="F2" s="53" t="s">
        <v>108</v>
      </c>
      <c r="G2" s="54" t="s">
        <v>100</v>
      </c>
      <c r="H2" s="54" t="s">
        <v>101</v>
      </c>
      <c r="J2" s="52" t="s">
        <v>99</v>
      </c>
    </row>
    <row r="3" spans="1:22" s="12" customFormat="1" ht="11.25" customHeight="1" x14ac:dyDescent="0.2">
      <c r="A3" s="155"/>
      <c r="B3" s="155"/>
      <c r="C3" s="155"/>
      <c r="D3" s="155"/>
      <c r="E3" s="30"/>
      <c r="F3" s="50" t="s">
        <v>102</v>
      </c>
      <c r="G3" s="56">
        <v>0</v>
      </c>
      <c r="H3" s="56">
        <v>0</v>
      </c>
      <c r="J3" s="55">
        <f>MAX(C11:V30)</f>
        <v>1</v>
      </c>
    </row>
    <row r="4" spans="1:22" s="12" customFormat="1" ht="11.25" customHeight="1" x14ac:dyDescent="0.2">
      <c r="A4" s="155"/>
      <c r="B4" s="155"/>
      <c r="C4" s="155"/>
      <c r="D4" s="155"/>
      <c r="E4" s="30"/>
      <c r="F4" s="50" t="s">
        <v>104</v>
      </c>
      <c r="G4" s="57">
        <f>IF(J3=0,0,0.01)</f>
        <v>0.01</v>
      </c>
      <c r="H4" s="57">
        <f>0.2*$J$3</f>
        <v>0.2</v>
      </c>
      <c r="I4" s="10"/>
      <c r="J4" s="11"/>
    </row>
    <row r="5" spans="1:22" s="12" customFormat="1" ht="11.25" customHeight="1" x14ac:dyDescent="0.2">
      <c r="A5" s="155"/>
      <c r="B5" s="155"/>
      <c r="C5" s="155"/>
      <c r="D5" s="155"/>
      <c r="E5" s="30"/>
      <c r="F5" s="50" t="s">
        <v>103</v>
      </c>
      <c r="G5" s="58">
        <f>IF(J3=0,0,J3*0.2+0.01)</f>
        <v>0.21000000000000002</v>
      </c>
      <c r="H5" s="58">
        <f>0.4*$J$3</f>
        <v>0.4</v>
      </c>
      <c r="I5" s="10"/>
      <c r="J5" s="52" t="s">
        <v>112</v>
      </c>
    </row>
    <row r="6" spans="1:22" s="12" customFormat="1" ht="11.25" customHeight="1" x14ac:dyDescent="0.2">
      <c r="A6" s="155"/>
      <c r="B6" s="155"/>
      <c r="C6" s="155"/>
      <c r="D6" s="155"/>
      <c r="E6" s="30"/>
      <c r="F6" s="50" t="s">
        <v>105</v>
      </c>
      <c r="G6" s="59">
        <f>IF(J3=0,0,J3*0.4+0.01)</f>
        <v>0.41000000000000003</v>
      </c>
      <c r="H6" s="59">
        <f>0.6*$J$3</f>
        <v>0.6</v>
      </c>
      <c r="I6" s="10"/>
      <c r="J6" s="64">
        <v>5</v>
      </c>
    </row>
    <row r="7" spans="1:22" s="12" customFormat="1" ht="11.25" customHeight="1" x14ac:dyDescent="0.2">
      <c r="A7" s="155"/>
      <c r="B7" s="155"/>
      <c r="C7" s="155"/>
      <c r="D7" s="155"/>
      <c r="E7" s="30"/>
      <c r="F7" s="50" t="s">
        <v>106</v>
      </c>
      <c r="G7" s="60">
        <f>IF(J3=0,0,J3*0.6+0.01)</f>
        <v>0.61</v>
      </c>
      <c r="H7" s="60">
        <f>0.8*$J$3</f>
        <v>0.8</v>
      </c>
      <c r="I7" s="10"/>
      <c r="J7" s="11"/>
    </row>
    <row r="8" spans="1:22" s="12" customFormat="1" ht="11.25" customHeight="1" x14ac:dyDescent="0.2">
      <c r="A8" s="155"/>
      <c r="B8" s="155"/>
      <c r="C8" s="155"/>
      <c r="D8" s="155"/>
      <c r="E8" s="30"/>
      <c r="F8" s="50" t="s">
        <v>107</v>
      </c>
      <c r="G8" s="61">
        <f>IF(J3=0,0,J3*0.8+0.01)</f>
        <v>0.81</v>
      </c>
      <c r="H8" s="61">
        <f>1*$J$3</f>
        <v>1</v>
      </c>
      <c r="I8" s="10"/>
      <c r="J8" s="11"/>
    </row>
    <row r="9" spans="1:22" s="12" customFormat="1" ht="3.75" customHeight="1" x14ac:dyDescent="0.2">
      <c r="A9" s="30"/>
      <c r="B9" s="30"/>
      <c r="C9" s="30"/>
      <c r="D9" s="30"/>
      <c r="E9" s="30"/>
      <c r="F9" s="30"/>
      <c r="G9" s="10"/>
      <c r="H9" s="11"/>
      <c r="I9" s="10"/>
      <c r="J9" s="11"/>
    </row>
    <row r="10" spans="1:22" x14ac:dyDescent="0.25">
      <c r="B10" s="13" t="s">
        <v>111</v>
      </c>
      <c r="C10" s="49" t="str">
        <f ca="1">OFFSET($B$10,COLUMN(C10)-2,0)</f>
        <v>Estación torneado</v>
      </c>
      <c r="D10" s="49" t="str">
        <f t="shared" ref="D10:V10" ca="1" si="0">OFFSET($B$10,COLUMN(D10)-2,0)</f>
        <v>Estación pulido</v>
      </c>
      <c r="E10" s="49" t="str">
        <f t="shared" ca="1" si="0"/>
        <v>Estación fresado</v>
      </c>
      <c r="F10" s="49" t="str">
        <f t="shared" ca="1" si="0"/>
        <v>Estación limado</v>
      </c>
      <c r="G10" s="49" t="str">
        <f t="shared" ca="1" si="0"/>
        <v>Estación empaque</v>
      </c>
      <c r="H10" s="49" t="str">
        <f t="shared" ca="1" si="0"/>
        <v>Bodega materia prima</v>
      </c>
      <c r="I10" s="49" t="str">
        <f t="shared" ca="1" si="0"/>
        <v>Bodega producto terminado</v>
      </c>
      <c r="J10" s="49" t="str">
        <f t="shared" ca="1" si="0"/>
        <v>Estación inspección</v>
      </c>
      <c r="K10" s="49" t="str">
        <f t="shared" ca="1" si="0"/>
        <v>Estación reproceso</v>
      </c>
      <c r="L10" s="49" t="str">
        <f t="shared" ca="1" si="0"/>
        <v/>
      </c>
      <c r="M10" s="49" t="str">
        <f t="shared" ca="1" si="0"/>
        <v/>
      </c>
      <c r="N10" s="49" t="str">
        <f t="shared" ca="1" si="0"/>
        <v/>
      </c>
      <c r="O10" s="49" t="str">
        <f t="shared" ca="1" si="0"/>
        <v/>
      </c>
      <c r="P10" s="49" t="str">
        <f t="shared" ca="1" si="0"/>
        <v/>
      </c>
      <c r="Q10" s="49" t="str">
        <f t="shared" ca="1" si="0"/>
        <v/>
      </c>
      <c r="R10" s="49" t="str">
        <f t="shared" ca="1" si="0"/>
        <v/>
      </c>
      <c r="S10" s="49" t="str">
        <f t="shared" ca="1" si="0"/>
        <v/>
      </c>
      <c r="T10" s="49" t="str">
        <f t="shared" ca="1" si="0"/>
        <v/>
      </c>
      <c r="U10" s="49" t="str">
        <f t="shared" ca="1" si="0"/>
        <v/>
      </c>
      <c r="V10" s="49" t="str">
        <f t="shared" ca="1" si="0"/>
        <v/>
      </c>
    </row>
    <row r="11" spans="1:22" x14ac:dyDescent="0.25">
      <c r="B11" s="48" t="str">
        <f>IF(Servidores!C3="","",Servidores!C3)</f>
        <v>Estación torneado</v>
      </c>
      <c r="C11" s="62"/>
      <c r="D11" s="62">
        <v>0.25</v>
      </c>
      <c r="E11" s="62">
        <v>0.75</v>
      </c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</row>
    <row r="12" spans="1:22" x14ac:dyDescent="0.25">
      <c r="B12" s="48" t="str">
        <f>IF(Servidores!C4="","",Servidores!C4)</f>
        <v>Estación pulido</v>
      </c>
      <c r="C12" s="62"/>
      <c r="D12" s="62"/>
      <c r="E12" s="62"/>
      <c r="F12" s="62">
        <v>0.25</v>
      </c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</row>
    <row r="13" spans="1:22" x14ac:dyDescent="0.25">
      <c r="B13" s="48" t="str">
        <f>IF(Servidores!C5="","",Servidores!C5)</f>
        <v>Estación fresado</v>
      </c>
      <c r="C13" s="62"/>
      <c r="D13" s="62"/>
      <c r="E13" s="62"/>
      <c r="F13" s="62">
        <v>0.75</v>
      </c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</row>
    <row r="14" spans="1:22" x14ac:dyDescent="0.25">
      <c r="B14" s="48" t="str">
        <f>IF(Servidores!C6="","",Servidores!C6)</f>
        <v>Estación limado</v>
      </c>
      <c r="C14" s="62"/>
      <c r="D14" s="62"/>
      <c r="E14" s="62"/>
      <c r="F14" s="62"/>
      <c r="G14" s="62"/>
      <c r="H14" s="62"/>
      <c r="I14" s="62"/>
      <c r="J14" s="62">
        <v>1</v>
      </c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</row>
    <row r="15" spans="1:22" x14ac:dyDescent="0.25">
      <c r="B15" s="48" t="str">
        <f>IF(Servidores!C7="","",Servidores!C7)</f>
        <v>Estación empaque</v>
      </c>
      <c r="C15" s="62"/>
      <c r="D15" s="62"/>
      <c r="E15" s="62"/>
      <c r="F15" s="62"/>
      <c r="G15" s="62"/>
      <c r="H15" s="62"/>
      <c r="I15" s="62">
        <v>0.9</v>
      </c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</row>
    <row r="16" spans="1:22" x14ac:dyDescent="0.25">
      <c r="B16" s="48" t="str">
        <f>IF(Servidores!C8="","",Servidores!C8)</f>
        <v>Bodega materia prima</v>
      </c>
      <c r="C16" s="62">
        <v>1</v>
      </c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</row>
    <row r="17" spans="2:22" x14ac:dyDescent="0.25">
      <c r="B17" s="48" t="str">
        <f>IF(Servidores!C9="","",Servidores!C9)</f>
        <v>Bodega producto terminado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</row>
    <row r="18" spans="2:22" x14ac:dyDescent="0.25">
      <c r="B18" s="48" t="str">
        <f>IF(Servidores!C10="","",Servidores!C10)</f>
        <v>Estación inspección</v>
      </c>
      <c r="C18" s="62"/>
      <c r="D18" s="62"/>
      <c r="E18" s="62"/>
      <c r="F18" s="62"/>
      <c r="G18" s="62">
        <v>0.9</v>
      </c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</row>
    <row r="19" spans="2:22" x14ac:dyDescent="0.25">
      <c r="B19" s="48" t="str">
        <f>IF(Servidores!C11="","",Servidores!C11)</f>
        <v>Estación reproceso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</row>
    <row r="20" spans="2:22" x14ac:dyDescent="0.25">
      <c r="B20" s="48" t="str">
        <f>IF(Servidores!C12="","",Servidores!C12)</f>
        <v/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</row>
    <row r="21" spans="2:22" x14ac:dyDescent="0.25">
      <c r="B21" s="48" t="str">
        <f>IF(Servidores!C13="","",Servidores!C13)</f>
        <v/>
      </c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</row>
    <row r="22" spans="2:22" x14ac:dyDescent="0.25">
      <c r="B22" s="48" t="str">
        <f>IF(Servidores!C14="","",Servidores!C14)</f>
        <v/>
      </c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</row>
    <row r="23" spans="2:22" x14ac:dyDescent="0.25">
      <c r="B23" s="48" t="str">
        <f>IF(Servidores!C15="","",Servidores!C15)</f>
        <v/>
      </c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</row>
    <row r="24" spans="2:22" x14ac:dyDescent="0.25">
      <c r="B24" s="48" t="str">
        <f>IF(Servidores!C16="","",Servidores!C16)</f>
        <v/>
      </c>
      <c r="C24" s="62"/>
      <c r="D24" s="62"/>
      <c r="E24" s="63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  <row r="25" spans="2:22" x14ac:dyDescent="0.25">
      <c r="B25" s="48" t="str">
        <f>IF(Servidores!C17="","",Servidores!C17)</f>
        <v/>
      </c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</row>
    <row r="26" spans="2:22" x14ac:dyDescent="0.25">
      <c r="B26" s="48" t="str">
        <f>IF(Servidores!C18="","",Servidores!C18)</f>
        <v/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</row>
    <row r="27" spans="2:22" x14ac:dyDescent="0.25">
      <c r="B27" s="48" t="str">
        <f>IF(Servidores!C19="","",Servidores!C19)</f>
        <v/>
      </c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</row>
    <row r="28" spans="2:22" x14ac:dyDescent="0.25">
      <c r="B28" s="48" t="str">
        <f>IF(Servidores!C20="","",Servidores!C20)</f>
        <v/>
      </c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</row>
    <row r="29" spans="2:22" x14ac:dyDescent="0.25">
      <c r="B29" s="48" t="str">
        <f>IF(Servidores!C21="","",Servidores!C21)</f>
        <v/>
      </c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</row>
    <row r="30" spans="2:22" x14ac:dyDescent="0.25">
      <c r="B30" s="48" t="str">
        <f>IF(Servidores!C22="","",Servidores!C22)</f>
        <v/>
      </c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</row>
  </sheetData>
  <mergeCells count="3">
    <mergeCell ref="A1:D1"/>
    <mergeCell ref="E1:F1"/>
    <mergeCell ref="A2:D8"/>
  </mergeCells>
  <conditionalFormatting sqref="C11:V23 C25:V30 C24:D24 F24:V24">
    <cfRule type="cellIs" dxfId="30" priority="1" operator="between">
      <formula>$G$3</formula>
      <formula>$H$3</formula>
    </cfRule>
    <cfRule type="cellIs" dxfId="29" priority="2" operator="between">
      <formula>$G$4</formula>
      <formula>$H$4</formula>
    </cfRule>
    <cfRule type="cellIs" dxfId="28" priority="3" operator="between">
      <formula>$G$5</formula>
      <formula>$H$5</formula>
    </cfRule>
    <cfRule type="cellIs" dxfId="27" priority="4" operator="between">
      <formula>$G$6</formula>
      <formula>$H$6</formula>
    </cfRule>
    <cfRule type="cellIs" dxfId="26" priority="5" operator="between">
      <formula>$G$7</formula>
      <formula>$H$7</formula>
    </cfRule>
    <cfRule type="cellIs" dxfId="25" priority="6" operator="between">
      <formula>$G$8</formula>
      <formula>$H$8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5" tint="-0.249977111117893"/>
  </sheetPr>
  <dimension ref="A1:N22"/>
  <sheetViews>
    <sheetView showGridLines="0" workbookViewId="0">
      <selection activeCell="D30" sqref="D30"/>
    </sheetView>
  </sheetViews>
  <sheetFormatPr baseColWidth="10" defaultRowHeight="15" x14ac:dyDescent="0.25"/>
  <cols>
    <col min="1" max="1" width="2.140625" customWidth="1"/>
    <col min="2" max="2" width="15.7109375" bestFit="1" customWidth="1"/>
    <col min="3" max="3" width="24" bestFit="1" customWidth="1"/>
    <col min="4" max="4" width="21.5703125" customWidth="1"/>
    <col min="5" max="5" width="19.28515625" bestFit="1" customWidth="1"/>
    <col min="6" max="6" width="12.5703125" bestFit="1" customWidth="1"/>
    <col min="7" max="7" width="16.85546875" bestFit="1" customWidth="1"/>
    <col min="9" max="9" width="15.140625" customWidth="1"/>
  </cols>
  <sheetData>
    <row r="1" spans="1:14" s="12" customFormat="1" ht="86.25" customHeight="1" x14ac:dyDescent="0.2">
      <c r="A1" s="155"/>
      <c r="B1" s="155"/>
      <c r="C1" s="155"/>
      <c r="D1" s="155"/>
      <c r="E1" s="155"/>
      <c r="F1" s="155"/>
      <c r="G1" s="10" t="s">
        <v>119</v>
      </c>
      <c r="H1" s="11">
        <f>COUNTA(E3:E50)</f>
        <v>8</v>
      </c>
      <c r="I1" s="10" t="s">
        <v>37</v>
      </c>
      <c r="J1" s="11">
        <f>COUNTIF(B3:B50,"Activa")</f>
        <v>8</v>
      </c>
    </row>
    <row r="2" spans="1:14" x14ac:dyDescent="0.25">
      <c r="B2" s="13" t="s">
        <v>42</v>
      </c>
      <c r="C2" s="13" t="s">
        <v>38</v>
      </c>
      <c r="D2" s="13" t="s">
        <v>53</v>
      </c>
      <c r="E2" s="13" t="s">
        <v>117</v>
      </c>
      <c r="F2" s="13" t="s">
        <v>118</v>
      </c>
      <c r="J2" s="68"/>
      <c r="K2" s="68"/>
      <c r="L2" s="68"/>
      <c r="M2" s="68"/>
      <c r="N2" s="68"/>
    </row>
    <row r="3" spans="1:14" x14ac:dyDescent="0.25">
      <c r="B3" s="15" t="str">
        <f>IF(Estaciones!B3="","",Estaciones!B3)</f>
        <v>Activa</v>
      </c>
      <c r="C3" s="20" t="str">
        <f>IF(Servidores!C3="","",Servidores!C3)</f>
        <v>Estación torneado</v>
      </c>
      <c r="D3" s="32" t="str">
        <f>IF(Servidores!D3="","",Servidores!D3)</f>
        <v>Torno</v>
      </c>
      <c r="E3" s="69">
        <v>13</v>
      </c>
      <c r="F3" s="55">
        <v>0.95</v>
      </c>
      <c r="I3" s="68"/>
      <c r="J3" s="68"/>
      <c r="K3" s="68"/>
      <c r="L3" s="68"/>
      <c r="M3" s="68"/>
      <c r="N3" s="68"/>
    </row>
    <row r="4" spans="1:14" x14ac:dyDescent="0.25">
      <c r="B4" s="15" t="str">
        <f>IF(Estaciones!B4="","",Estaciones!B4)</f>
        <v>Activa</v>
      </c>
      <c r="C4" s="20" t="str">
        <f>IF(Servidores!C4="","",Servidores!C4)</f>
        <v>Estación pulido</v>
      </c>
      <c r="D4" s="32" t="str">
        <f>IF(Servidores!D4="","",Servidores!D4)</f>
        <v>Pulidora</v>
      </c>
      <c r="E4" s="70">
        <v>20.5</v>
      </c>
      <c r="F4" s="55">
        <v>0.95</v>
      </c>
    </row>
    <row r="5" spans="1:14" x14ac:dyDescent="0.25">
      <c r="B5" s="15" t="str">
        <f>IF(Estaciones!B5="","",Estaciones!B5)</f>
        <v>Activa</v>
      </c>
      <c r="C5" s="20" t="str">
        <f>IF(Servidores!C5="","",Servidores!C5)</f>
        <v>Estación fresado</v>
      </c>
      <c r="D5" s="32" t="str">
        <f>IF(Servidores!D5="","",Servidores!D5)</f>
        <v>Fresadora</v>
      </c>
      <c r="E5" s="69">
        <v>11</v>
      </c>
      <c r="F5" s="55">
        <v>0.95</v>
      </c>
    </row>
    <row r="6" spans="1:14" x14ac:dyDescent="0.25">
      <c r="B6" s="15" t="str">
        <f>IF(Estaciones!B6="","",Estaciones!B6)</f>
        <v>Activa</v>
      </c>
      <c r="C6" s="20" t="str">
        <f>IF(Servidores!C6="","",Servidores!C6)</f>
        <v>Estación limado</v>
      </c>
      <c r="D6" s="32" t="str">
        <f>IF(Servidores!D6="","",Servidores!D6)</f>
        <v>Limadora</v>
      </c>
      <c r="E6" s="70">
        <v>18</v>
      </c>
      <c r="F6" s="55">
        <v>0.95</v>
      </c>
    </row>
    <row r="7" spans="1:14" x14ac:dyDescent="0.25">
      <c r="B7" s="15" t="str">
        <f>IF(Estaciones!B7="","",Estaciones!B7)</f>
        <v>Activa</v>
      </c>
      <c r="C7" s="20" t="str">
        <f>IF(Servidores!C7="","",Servidores!C7)</f>
        <v>Estación empaque</v>
      </c>
      <c r="D7" s="32" t="str">
        <f>IF(Servidores!D7="","",Servidores!D7)</f>
        <v>Empacador</v>
      </c>
      <c r="E7" s="70">
        <v>60</v>
      </c>
      <c r="F7" s="55">
        <v>0.95</v>
      </c>
    </row>
    <row r="8" spans="1:14" x14ac:dyDescent="0.25">
      <c r="B8" s="15" t="str">
        <f>IF(Estaciones!B8="","",Estaciones!B8)</f>
        <v>Activa</v>
      </c>
      <c r="C8" s="20" t="str">
        <f>IF(Servidores!C8="","",Servidores!C8)</f>
        <v>Bodega materia prima</v>
      </c>
      <c r="D8" s="32" t="str">
        <f>IF(Servidores!D8="","",Servidores!D8)</f>
        <v>Bodega A</v>
      </c>
      <c r="E8" s="70">
        <v>0</v>
      </c>
      <c r="F8" s="55">
        <v>0</v>
      </c>
    </row>
    <row r="9" spans="1:14" x14ac:dyDescent="0.25">
      <c r="B9" s="15" t="str">
        <f>IF(Estaciones!B9="","",Estaciones!B9)</f>
        <v>Activa</v>
      </c>
      <c r="C9" s="20" t="str">
        <f>IF(Servidores!C9="","",Servidores!C9)</f>
        <v>Bodega producto terminado</v>
      </c>
      <c r="D9" s="32" t="str">
        <f>IF(Servidores!D9="","",Servidores!D9)</f>
        <v>Bodega B</v>
      </c>
      <c r="E9" s="70">
        <v>0</v>
      </c>
      <c r="F9" s="55">
        <v>0</v>
      </c>
    </row>
    <row r="10" spans="1:14" x14ac:dyDescent="0.25">
      <c r="B10" s="15" t="str">
        <f>IF(Estaciones!B10="","",Estaciones!B10)</f>
        <v>Activa</v>
      </c>
      <c r="C10" s="20" t="str">
        <f>IF(Servidores!C10="","",Servidores!C10)</f>
        <v>Estación inspección</v>
      </c>
      <c r="D10" s="32" t="str">
        <f>IF(Servidores!D10="","",Servidores!D10)</f>
        <v>Servidor inspección</v>
      </c>
      <c r="E10" s="70">
        <v>45</v>
      </c>
      <c r="F10" s="55">
        <v>0.95</v>
      </c>
    </row>
    <row r="11" spans="1:14" x14ac:dyDescent="0.25">
      <c r="B11" s="15" t="str">
        <f>IF(Estaciones!B11="","",Estaciones!B11)</f>
        <v>Inactiva</v>
      </c>
      <c r="C11" s="20" t="str">
        <f>IF(Servidores!C11="","",Servidores!C11)</f>
        <v>Estación reproceso</v>
      </c>
      <c r="D11" s="32" t="str">
        <f>IF(Servidores!D11="","",Servidores!D11)</f>
        <v/>
      </c>
      <c r="E11" s="70"/>
      <c r="F11" s="55"/>
    </row>
    <row r="12" spans="1:14" x14ac:dyDescent="0.25">
      <c r="B12" s="15" t="str">
        <f>IF(Estaciones!B12="","",Estaciones!B12)</f>
        <v>Inactiva</v>
      </c>
      <c r="C12" s="20" t="str">
        <f>IF(Servidores!C12="","",Servidores!C12)</f>
        <v/>
      </c>
      <c r="D12" s="32" t="str">
        <f>IF(Servidores!D12="","",Servidores!D12)</f>
        <v/>
      </c>
      <c r="E12" s="70"/>
      <c r="F12" s="55"/>
    </row>
    <row r="13" spans="1:14" x14ac:dyDescent="0.25">
      <c r="B13" s="15" t="str">
        <f>IF(Estaciones!B13="","",Estaciones!B13)</f>
        <v>Inactiva</v>
      </c>
      <c r="C13" s="20" t="str">
        <f>IF(Servidores!C13="","",Servidores!C13)</f>
        <v/>
      </c>
      <c r="D13" s="32" t="str">
        <f>IF(Servidores!D13="","",Servidores!D13)</f>
        <v/>
      </c>
      <c r="E13" s="70"/>
      <c r="F13" s="55"/>
    </row>
    <row r="14" spans="1:14" x14ac:dyDescent="0.25">
      <c r="B14" s="15" t="str">
        <f>IF(Estaciones!B14="","",Estaciones!B14)</f>
        <v>Inactiva</v>
      </c>
      <c r="C14" s="20" t="str">
        <f>IF(Servidores!C14="","",Servidores!C14)</f>
        <v/>
      </c>
      <c r="D14" s="32" t="str">
        <f>IF(Servidores!D14="","",Servidores!D14)</f>
        <v/>
      </c>
      <c r="E14" s="70"/>
      <c r="F14" s="55"/>
    </row>
    <row r="15" spans="1:14" x14ac:dyDescent="0.25">
      <c r="B15" s="15" t="str">
        <f>IF(Estaciones!B15="","",Estaciones!B15)</f>
        <v>Inactiva</v>
      </c>
      <c r="C15" s="20" t="str">
        <f>IF(Servidores!C15="","",Servidores!C15)</f>
        <v/>
      </c>
      <c r="D15" s="32" t="str">
        <f>IF(Servidores!D15="","",Servidores!D15)</f>
        <v/>
      </c>
      <c r="E15" s="70"/>
      <c r="F15" s="55"/>
    </row>
    <row r="16" spans="1:14" x14ac:dyDescent="0.25">
      <c r="B16" s="15" t="str">
        <f>IF(Estaciones!B16="","",Estaciones!B16)</f>
        <v>Inactiva</v>
      </c>
      <c r="C16" s="20" t="str">
        <f>IF(Servidores!C16="","",Servidores!C16)</f>
        <v/>
      </c>
      <c r="D16" s="32" t="str">
        <f>IF(Servidores!D16="","",Servidores!D16)</f>
        <v/>
      </c>
      <c r="E16" s="70"/>
      <c r="F16" s="55"/>
    </row>
    <row r="17" spans="2:6" x14ac:dyDescent="0.25">
      <c r="B17" s="15" t="str">
        <f>IF(Estaciones!B17="","",Estaciones!B17)</f>
        <v>Inactiva</v>
      </c>
      <c r="C17" s="20" t="str">
        <f>IF(Servidores!C17="","",Servidores!C17)</f>
        <v/>
      </c>
      <c r="D17" s="32" t="str">
        <f>IF(Servidores!D17="","",Servidores!D17)</f>
        <v/>
      </c>
      <c r="E17" s="70"/>
      <c r="F17" s="55"/>
    </row>
    <row r="18" spans="2:6" x14ac:dyDescent="0.25">
      <c r="B18" s="15" t="str">
        <f>IF(Estaciones!B18="","",Estaciones!B18)</f>
        <v>Inactiva</v>
      </c>
      <c r="C18" s="20" t="str">
        <f>IF(Servidores!C18="","",Servidores!C18)</f>
        <v/>
      </c>
      <c r="D18" s="32" t="str">
        <f>IF(Servidores!D18="","",Servidores!D18)</f>
        <v/>
      </c>
      <c r="E18" s="70"/>
      <c r="F18" s="55"/>
    </row>
    <row r="19" spans="2:6" x14ac:dyDescent="0.25">
      <c r="B19" s="15" t="str">
        <f>IF(Estaciones!B19="","",Estaciones!B19)</f>
        <v>Inactiva</v>
      </c>
      <c r="C19" s="20" t="str">
        <f>IF(Servidores!C19="","",Servidores!C19)</f>
        <v/>
      </c>
      <c r="D19" s="32" t="str">
        <f>IF(Servidores!D19="","",Servidores!D19)</f>
        <v/>
      </c>
      <c r="E19" s="70"/>
      <c r="F19" s="55"/>
    </row>
    <row r="20" spans="2:6" x14ac:dyDescent="0.25">
      <c r="B20" s="15" t="str">
        <f>IF(Estaciones!B20="","",Estaciones!B20)</f>
        <v>Inactiva</v>
      </c>
      <c r="C20" s="20" t="str">
        <f>IF(Servidores!C20="","",Servidores!C20)</f>
        <v/>
      </c>
      <c r="D20" s="32" t="str">
        <f>IF(Servidores!D20="","",Servidores!D20)</f>
        <v/>
      </c>
      <c r="E20" s="70"/>
      <c r="F20" s="55"/>
    </row>
    <row r="21" spans="2:6" x14ac:dyDescent="0.25">
      <c r="B21" s="15" t="str">
        <f>IF(Estaciones!B21="","",Estaciones!B21)</f>
        <v>Inactiva</v>
      </c>
      <c r="C21" s="20" t="str">
        <f>IF(Servidores!C21="","",Servidores!C21)</f>
        <v/>
      </c>
      <c r="D21" s="32" t="str">
        <f>IF(Servidores!D21="","",Servidores!D21)</f>
        <v/>
      </c>
      <c r="E21" s="70"/>
      <c r="F21" s="55"/>
    </row>
    <row r="22" spans="2:6" x14ac:dyDescent="0.25">
      <c r="B22" s="15" t="str">
        <f>IF(Estaciones!B22="","",Estaciones!B22)</f>
        <v>Inactiva</v>
      </c>
      <c r="C22" s="20" t="str">
        <f>IF(Servidores!C22="","",Servidores!C22)</f>
        <v/>
      </c>
      <c r="D22" s="32" t="str">
        <f>IF(Servidores!D22="","",Servidores!D22)</f>
        <v/>
      </c>
      <c r="E22" s="70"/>
      <c r="F22" s="55"/>
    </row>
  </sheetData>
  <mergeCells count="2">
    <mergeCell ref="A1:D1"/>
    <mergeCell ref="E1:F1"/>
  </mergeCells>
  <conditionalFormatting sqref="B3:B22">
    <cfRule type="cellIs" dxfId="24" priority="2" operator="equal">
      <formula>"Activa"</formula>
    </cfRule>
  </conditionalFormatting>
  <conditionalFormatting sqref="D4:E4 D6:E22">
    <cfRule type="cellIs" dxfId="23" priority="1" operator="equal">
      <formula>"Activa"</formula>
    </cfRule>
  </conditionalFormatting>
  <dataValidations count="1">
    <dataValidation type="list" allowBlank="1" showInputMessage="1" showErrorMessage="1" sqref="B3:B22">
      <formula1>Activacion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5" tint="-0.249977111117893"/>
  </sheetPr>
  <dimension ref="A1:K3"/>
  <sheetViews>
    <sheetView showGridLines="0" workbookViewId="0">
      <selection activeCell="G1" sqref="G1"/>
    </sheetView>
  </sheetViews>
  <sheetFormatPr baseColWidth="10" defaultRowHeight="15" x14ac:dyDescent="0.25"/>
  <cols>
    <col min="1" max="1" width="2.140625" customWidth="1"/>
    <col min="2" max="2" width="30.28515625" customWidth="1"/>
    <col min="3" max="3" width="28.7109375" customWidth="1"/>
    <col min="4" max="5" width="11.42578125" customWidth="1"/>
    <col min="6" max="6" width="16.85546875" bestFit="1" customWidth="1"/>
    <col min="8" max="8" width="15.140625" customWidth="1"/>
    <col min="9" max="9" width="11.85546875" bestFit="1" customWidth="1"/>
  </cols>
  <sheetData>
    <row r="1" spans="1:11" s="12" customFormat="1" ht="86.25" customHeight="1" x14ac:dyDescent="0.2">
      <c r="A1" s="155"/>
      <c r="B1" s="155"/>
      <c r="C1" s="155"/>
      <c r="D1" s="155"/>
      <c r="E1" s="155"/>
      <c r="F1" s="10" t="s">
        <v>152</v>
      </c>
      <c r="G1" s="82">
        <f>SUM('Sup. gravitación &amp; evolución'!H3:H22)</f>
        <v>303.5025</v>
      </c>
      <c r="H1" s="10" t="s">
        <v>153</v>
      </c>
      <c r="I1" s="82">
        <f>B3*C3</f>
        <v>1035</v>
      </c>
      <c r="J1" s="10" t="s">
        <v>154</v>
      </c>
      <c r="K1" s="11" t="str">
        <f>IF(G1&lt;I1,"Factible","Infactible")</f>
        <v>Factible</v>
      </c>
    </row>
    <row r="2" spans="1:11" x14ac:dyDescent="0.25">
      <c r="B2" s="13" t="s">
        <v>82</v>
      </c>
      <c r="C2" s="13" t="s">
        <v>81</v>
      </c>
    </row>
    <row r="3" spans="1:11" x14ac:dyDescent="0.25">
      <c r="B3" s="33">
        <v>45</v>
      </c>
      <c r="C3" s="33">
        <v>23</v>
      </c>
    </row>
  </sheetData>
  <mergeCells count="2">
    <mergeCell ref="A1:C1"/>
    <mergeCell ref="D1:E1"/>
  </mergeCells>
  <conditionalFormatting sqref="K1">
    <cfRule type="cellIs" dxfId="22" priority="1" operator="equal">
      <formula>"Infactible"</formula>
    </cfRule>
    <cfRule type="cellIs" dxfId="21" priority="2" operator="equal">
      <formula>"Factible"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5" tint="-0.249977111117893"/>
  </sheetPr>
  <dimension ref="A1:I5"/>
  <sheetViews>
    <sheetView showGridLines="0" workbookViewId="0">
      <selection activeCell="K27" sqref="K27"/>
    </sheetView>
  </sheetViews>
  <sheetFormatPr baseColWidth="10" defaultRowHeight="15" x14ac:dyDescent="0.25"/>
  <cols>
    <col min="1" max="1" width="2.140625" customWidth="1"/>
    <col min="2" max="2" width="34.85546875" bestFit="1" customWidth="1"/>
    <col min="3" max="3" width="25.42578125" customWidth="1"/>
    <col min="4" max="5" width="11.42578125" customWidth="1"/>
    <col min="6" max="6" width="16.85546875" bestFit="1" customWidth="1"/>
    <col min="8" max="8" width="15.140625" customWidth="1"/>
  </cols>
  <sheetData>
    <row r="1" spans="1:9" s="12" customFormat="1" ht="86.25" customHeight="1" x14ac:dyDescent="0.2">
      <c r="A1" s="155"/>
      <c r="B1" s="155"/>
      <c r="C1" s="155"/>
      <c r="D1" s="155"/>
      <c r="E1" s="155"/>
      <c r="F1" s="10"/>
      <c r="G1" s="11"/>
      <c r="H1" s="10"/>
      <c r="I1" s="11"/>
    </row>
    <row r="2" spans="1:9" x14ac:dyDescent="0.25">
      <c r="B2" s="78" t="s">
        <v>121</v>
      </c>
      <c r="C2" s="69">
        <v>53</v>
      </c>
    </row>
    <row r="3" spans="1:9" x14ac:dyDescent="0.25">
      <c r="B3" s="78" t="s">
        <v>143</v>
      </c>
      <c r="C3" s="69" t="s">
        <v>135</v>
      </c>
    </row>
    <row r="4" spans="1:9" x14ac:dyDescent="0.25">
      <c r="B4" s="78" t="s">
        <v>144</v>
      </c>
      <c r="C4" s="79">
        <f>VLOOKUP(C3,Listados!H2:I10,2,FALSE)</f>
        <v>0.17499999999999999</v>
      </c>
    </row>
    <row r="5" spans="1:9" x14ac:dyDescent="0.25">
      <c r="B5" s="78" t="s">
        <v>217</v>
      </c>
      <c r="C5" s="122">
        <v>125</v>
      </c>
    </row>
  </sheetData>
  <mergeCells count="2">
    <mergeCell ref="A1:C1"/>
    <mergeCell ref="D1:E1"/>
  </mergeCells>
  <dataValidations count="1">
    <dataValidation type="list" allowBlank="1" showInputMessage="1" showErrorMessage="1" sqref="C3">
      <formula1>TipoIndustria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rgb="FF0070C0"/>
  </sheetPr>
  <dimension ref="A1:N22"/>
  <sheetViews>
    <sheetView showGridLines="0" workbookViewId="0">
      <selection activeCell="J14" sqref="J14"/>
    </sheetView>
  </sheetViews>
  <sheetFormatPr baseColWidth="10" defaultRowHeight="15" x14ac:dyDescent="0.25"/>
  <cols>
    <col min="1" max="1" width="2.140625" customWidth="1"/>
    <col min="2" max="2" width="15.7109375" bestFit="1" customWidth="1"/>
    <col min="3" max="3" width="24" bestFit="1" customWidth="1"/>
    <col min="4" max="4" width="21.5703125" customWidth="1"/>
    <col min="5" max="5" width="19.28515625" bestFit="1" customWidth="1"/>
    <col min="6" max="6" width="15.5703125" customWidth="1"/>
    <col min="7" max="7" width="14.140625" customWidth="1"/>
    <col min="8" max="8" width="14" customWidth="1"/>
    <col min="9" max="9" width="15.140625" customWidth="1"/>
  </cols>
  <sheetData>
    <row r="1" spans="1:14" s="12" customFormat="1" ht="86.25" customHeight="1" x14ac:dyDescent="0.2">
      <c r="A1" s="155"/>
      <c r="B1" s="155"/>
      <c r="C1" s="155"/>
      <c r="D1" s="155"/>
      <c r="E1" s="155"/>
      <c r="F1" s="155"/>
      <c r="G1" s="10"/>
      <c r="H1" s="11"/>
      <c r="I1" s="10"/>
      <c r="J1" s="11"/>
    </row>
    <row r="2" spans="1:14" ht="24.75" customHeight="1" x14ac:dyDescent="0.25">
      <c r="B2" s="13" t="s">
        <v>42</v>
      </c>
      <c r="C2" s="13" t="s">
        <v>38</v>
      </c>
      <c r="D2" s="13" t="s">
        <v>53</v>
      </c>
      <c r="E2" s="71" t="s">
        <v>125</v>
      </c>
      <c r="F2" s="71" t="s">
        <v>124</v>
      </c>
      <c r="G2" s="71" t="s">
        <v>126</v>
      </c>
      <c r="H2" s="71" t="s">
        <v>127</v>
      </c>
      <c r="J2" s="68"/>
      <c r="K2" s="68"/>
      <c r="L2" s="68"/>
      <c r="M2" s="68"/>
      <c r="N2" s="68"/>
    </row>
    <row r="3" spans="1:14" x14ac:dyDescent="0.25">
      <c r="B3" s="15" t="str">
        <f>IF(Estaciones!B3="","",Estaciones!B3)</f>
        <v>Activa</v>
      </c>
      <c r="C3" s="20" t="str">
        <f>IF(Servidores!C3="","",Servidores!C3)</f>
        <v>Estación torneado</v>
      </c>
      <c r="D3" s="32" t="str">
        <f>IF(Servidores!D3="","",Servidores!D3)</f>
        <v>Torno</v>
      </c>
      <c r="E3" s="69">
        <f>IF(OR('Tasa de proceso &amp; eficiencia'!E3=0,'Tasa de proceso &amp; eficiencia'!E3=""),"",'Tasa de proceso &amp; eficiencia'!E3*'Tasa de proceso &amp; eficiencia'!F3)</f>
        <v>12.35</v>
      </c>
      <c r="F3" s="72">
        <f>IFERROR(60/E3,"")</f>
        <v>4.858299595141701</v>
      </c>
      <c r="G3" s="33">
        <f>IFERROR(IF('Throughput Total'!$C$2/'% ocupación &amp; balance de línea'!E3=ROUNDUP('Throughput Total'!$C$2/'% ocupación &amp; balance de línea'!E3,0),'Throughput Total'!$C$2/'% ocupación &amp; balance de línea'!E3+1,ROUNDUP('Throughput Total'!$C$2/'% ocupación &amp; balance de línea'!E3,0)),IF(D3="","",1))</f>
        <v>5</v>
      </c>
      <c r="H3" s="73">
        <f>IFERROR('Throughput Total'!$C$2/('% ocupación &amp; balance de línea'!E3*'% ocupación &amp; balance de línea'!G3),"")</f>
        <v>0.8582995951417004</v>
      </c>
      <c r="I3" s="68"/>
      <c r="J3" s="68"/>
      <c r="K3" s="68"/>
      <c r="L3" s="68"/>
      <c r="M3" s="68"/>
      <c r="N3" s="68"/>
    </row>
    <row r="4" spans="1:14" x14ac:dyDescent="0.25">
      <c r="B4" s="15" t="str">
        <f>IF(Estaciones!B4="","",Estaciones!B4)</f>
        <v>Activa</v>
      </c>
      <c r="C4" s="20" t="str">
        <f>IF(Servidores!C4="","",Servidores!C4)</f>
        <v>Estación pulido</v>
      </c>
      <c r="D4" s="32" t="str">
        <f>IF(Servidores!D4="","",Servidores!D4)</f>
        <v>Pulidora</v>
      </c>
      <c r="E4" s="69">
        <f>IF(OR('Tasa de proceso &amp; eficiencia'!E4=0,'Tasa de proceso &amp; eficiencia'!E4=""),"",'Tasa de proceso &amp; eficiencia'!E4*'Tasa de proceso &amp; eficiencia'!F4)</f>
        <v>19.474999999999998</v>
      </c>
      <c r="F4" s="72">
        <f t="shared" ref="F4:F22" si="0">IFERROR(60/E4,"")</f>
        <v>3.0808729139922981</v>
      </c>
      <c r="G4" s="33">
        <f>IFERROR(IF('Throughput Total'!$C$2/'% ocupación &amp; balance de línea'!E4=ROUNDUP('Throughput Total'!$C$2/'% ocupación &amp; balance de línea'!E4,0),'Throughput Total'!$C$2/'% ocupación &amp; balance de línea'!E4+1,ROUNDUP('Throughput Total'!$C$2/'% ocupación &amp; balance de línea'!E4,0)),IF(D4="","",1))</f>
        <v>3</v>
      </c>
      <c r="H4" s="73">
        <f>IFERROR('Throughput Total'!$C$2/('% ocupación &amp; balance de línea'!E4*'% ocupación &amp; balance de línea'!G4),"")</f>
        <v>0.90714591356439889</v>
      </c>
    </row>
    <row r="5" spans="1:14" x14ac:dyDescent="0.25">
      <c r="B5" s="15" t="str">
        <f>IF(Estaciones!B5="","",Estaciones!B5)</f>
        <v>Activa</v>
      </c>
      <c r="C5" s="20" t="str">
        <f>IF(Servidores!C5="","",Servidores!C5)</f>
        <v>Estación fresado</v>
      </c>
      <c r="D5" s="32" t="str">
        <f>IF(Servidores!D5="","",Servidores!D5)</f>
        <v>Fresadora</v>
      </c>
      <c r="E5" s="69">
        <f>IF(OR('Tasa de proceso &amp; eficiencia'!E5=0,'Tasa de proceso &amp; eficiencia'!E5=""),"",'Tasa de proceso &amp; eficiencia'!E5*'Tasa de proceso &amp; eficiencia'!F5)</f>
        <v>10.45</v>
      </c>
      <c r="F5" s="72">
        <f t="shared" si="0"/>
        <v>5.7416267942583739</v>
      </c>
      <c r="G5" s="33">
        <f>IFERROR(IF('Throughput Total'!$C$2/'% ocupación &amp; balance de línea'!E5=ROUNDUP('Throughput Total'!$C$2/'% ocupación &amp; balance de línea'!E5,0),'Throughput Total'!$C$2/'% ocupación &amp; balance de línea'!E5+1,ROUNDUP('Throughput Total'!$C$2/'% ocupación &amp; balance de línea'!E5,0)),IF(D5="","",1))</f>
        <v>6</v>
      </c>
      <c r="H5" s="73">
        <f>IFERROR('Throughput Total'!$C$2/('% ocupación &amp; balance de línea'!E5*'% ocupación &amp; balance de línea'!G5),"")</f>
        <v>0.84529505582137165</v>
      </c>
    </row>
    <row r="6" spans="1:14" x14ac:dyDescent="0.25">
      <c r="B6" s="15" t="str">
        <f>IF(Estaciones!B6="","",Estaciones!B6)</f>
        <v>Activa</v>
      </c>
      <c r="C6" s="20" t="str">
        <f>IF(Servidores!C6="","",Servidores!C6)</f>
        <v>Estación limado</v>
      </c>
      <c r="D6" s="32" t="str">
        <f>IF(Servidores!D6="","",Servidores!D6)</f>
        <v>Limadora</v>
      </c>
      <c r="E6" s="69">
        <f>IF(OR('Tasa de proceso &amp; eficiencia'!E6=0,'Tasa de proceso &amp; eficiencia'!E6=""),"",'Tasa de proceso &amp; eficiencia'!E6*'Tasa de proceso &amp; eficiencia'!F6)</f>
        <v>17.099999999999998</v>
      </c>
      <c r="F6" s="72">
        <f t="shared" si="0"/>
        <v>3.5087719298245617</v>
      </c>
      <c r="G6" s="33">
        <f>IFERROR(IF('Throughput Total'!$C$2/'% ocupación &amp; balance de línea'!E6=ROUNDUP('Throughput Total'!$C$2/'% ocupación &amp; balance de línea'!E6,0),'Throughput Total'!$C$2/'% ocupación &amp; balance de línea'!E6+1,ROUNDUP('Throughput Total'!$C$2/'% ocupación &amp; balance de línea'!E6,0)),IF(D6="","",1))</f>
        <v>4</v>
      </c>
      <c r="H6" s="73">
        <f>IFERROR('Throughput Total'!$C$2/('% ocupación &amp; balance de línea'!E6*'% ocupación &amp; balance de línea'!G6),"")</f>
        <v>0.77485380116959079</v>
      </c>
    </row>
    <row r="7" spans="1:14" x14ac:dyDescent="0.25">
      <c r="B7" s="15" t="str">
        <f>IF(Estaciones!B7="","",Estaciones!B7)</f>
        <v>Activa</v>
      </c>
      <c r="C7" s="20" t="str">
        <f>IF(Servidores!C7="","",Servidores!C7)</f>
        <v>Estación empaque</v>
      </c>
      <c r="D7" s="32" t="str">
        <f>IF(Servidores!D7="","",Servidores!D7)</f>
        <v>Empacador</v>
      </c>
      <c r="E7" s="69">
        <f>IF(OR('Tasa de proceso &amp; eficiencia'!E7=0,'Tasa de proceso &amp; eficiencia'!E7=""),"",'Tasa de proceso &amp; eficiencia'!E7*'Tasa de proceso &amp; eficiencia'!F7)</f>
        <v>57</v>
      </c>
      <c r="F7" s="72">
        <f t="shared" si="0"/>
        <v>1.0526315789473684</v>
      </c>
      <c r="G7" s="33">
        <f>IFERROR(IF('Throughput Total'!$C$2/'% ocupación &amp; balance de línea'!E7=ROUNDUP('Throughput Total'!$C$2/'% ocupación &amp; balance de línea'!E7,0),'Throughput Total'!$C$2/'% ocupación &amp; balance de línea'!E7+1,ROUNDUP('Throughput Total'!$C$2/'% ocupación &amp; balance de línea'!E7,0)),IF(D7="","",1))</f>
        <v>1</v>
      </c>
      <c r="H7" s="73">
        <f>IFERROR('Throughput Total'!$C$2/('% ocupación &amp; balance de línea'!E7*'% ocupación &amp; balance de línea'!G7),"")</f>
        <v>0.92982456140350878</v>
      </c>
    </row>
    <row r="8" spans="1:14" x14ac:dyDescent="0.25">
      <c r="B8" s="15" t="str">
        <f>IF(Estaciones!B8="","",Estaciones!B8)</f>
        <v>Activa</v>
      </c>
      <c r="C8" s="20" t="str">
        <f>IF(Servidores!C8="","",Servidores!C8)</f>
        <v>Bodega materia prima</v>
      </c>
      <c r="D8" s="32" t="str">
        <f>IF(Servidores!D8="","",Servidores!D8)</f>
        <v>Bodega A</v>
      </c>
      <c r="E8" s="69" t="str">
        <f>IF(OR('Tasa de proceso &amp; eficiencia'!E8=0,'Tasa de proceso &amp; eficiencia'!E8=""),"",'Tasa de proceso &amp; eficiencia'!E8*'Tasa de proceso &amp; eficiencia'!F8)</f>
        <v/>
      </c>
      <c r="F8" s="72" t="str">
        <f t="shared" si="0"/>
        <v/>
      </c>
      <c r="G8" s="33">
        <f>IFERROR(IF('Throughput Total'!$C$2/'% ocupación &amp; balance de línea'!E8=ROUNDUP('Throughput Total'!$C$2/'% ocupación &amp; balance de línea'!E8,0),'Throughput Total'!$C$2/'% ocupación &amp; balance de línea'!E8+1,ROUNDUP('Throughput Total'!$C$2/'% ocupación &amp; balance de línea'!E8,0)),IF(D8="","",1))</f>
        <v>1</v>
      </c>
      <c r="H8" s="73" t="str">
        <f>IFERROR('Throughput Total'!$C$2/('% ocupación &amp; balance de línea'!E8*'% ocupación &amp; balance de línea'!G8),"")</f>
        <v/>
      </c>
    </row>
    <row r="9" spans="1:14" x14ac:dyDescent="0.25">
      <c r="B9" s="15" t="str">
        <f>IF(Estaciones!B9="","",Estaciones!B9)</f>
        <v>Activa</v>
      </c>
      <c r="C9" s="20" t="str">
        <f>IF(Servidores!C9="","",Servidores!C9)</f>
        <v>Bodega producto terminado</v>
      </c>
      <c r="D9" s="32" t="str">
        <f>IF(Servidores!D9="","",Servidores!D9)</f>
        <v>Bodega B</v>
      </c>
      <c r="E9" s="69" t="str">
        <f>IF(OR('Tasa de proceso &amp; eficiencia'!E9=0,'Tasa de proceso &amp; eficiencia'!E9=""),"",'Tasa de proceso &amp; eficiencia'!E9*'Tasa de proceso &amp; eficiencia'!F9)</f>
        <v/>
      </c>
      <c r="F9" s="72" t="str">
        <f t="shared" si="0"/>
        <v/>
      </c>
      <c r="G9" s="33">
        <f>IFERROR(IF('Throughput Total'!$C$2/'% ocupación &amp; balance de línea'!E9=ROUNDUP('Throughput Total'!$C$2/'% ocupación &amp; balance de línea'!E9,0),'Throughput Total'!$C$2/'% ocupación &amp; balance de línea'!E9+1,ROUNDUP('Throughput Total'!$C$2/'% ocupación &amp; balance de línea'!E9,0)),IF(D9="","",1))</f>
        <v>1</v>
      </c>
      <c r="H9" s="73" t="str">
        <f>IFERROR('Throughput Total'!$C$2/('% ocupación &amp; balance de línea'!E9*'% ocupación &amp; balance de línea'!G9),"")</f>
        <v/>
      </c>
    </row>
    <row r="10" spans="1:14" x14ac:dyDescent="0.25">
      <c r="B10" s="15" t="str">
        <f>IF(Estaciones!B10="","",Estaciones!B10)</f>
        <v>Activa</v>
      </c>
      <c r="C10" s="20" t="str">
        <f>IF(Servidores!C10="","",Servidores!C10)</f>
        <v>Estación inspección</v>
      </c>
      <c r="D10" s="32" t="str">
        <f>IF(Servidores!D10="","",Servidores!D10)</f>
        <v>Servidor inspección</v>
      </c>
      <c r="E10" s="69">
        <f>IF(OR('Tasa de proceso &amp; eficiencia'!E10=0,'Tasa de proceso &amp; eficiencia'!E10=""),"",'Tasa de proceso &amp; eficiencia'!E10*'Tasa de proceso &amp; eficiencia'!F10)</f>
        <v>42.75</v>
      </c>
      <c r="F10" s="72">
        <f t="shared" si="0"/>
        <v>1.4035087719298245</v>
      </c>
      <c r="G10" s="33">
        <f>IFERROR(IF('Throughput Total'!$C$2/'% ocupación &amp; balance de línea'!E10=ROUNDUP('Throughput Total'!$C$2/'% ocupación &amp; balance de línea'!E10,0),'Throughput Total'!$C$2/'% ocupación &amp; balance de línea'!E10+1,ROUNDUP('Throughput Total'!$C$2/'% ocupación &amp; balance de línea'!E10,0)),IF(D10="","",1))</f>
        <v>2</v>
      </c>
      <c r="H10" s="73">
        <f>IFERROR('Throughput Total'!$C$2/('% ocupación &amp; balance de línea'!E10*'% ocupación &amp; balance de línea'!G10),"")</f>
        <v>0.61988304093567248</v>
      </c>
    </row>
    <row r="11" spans="1:14" x14ac:dyDescent="0.25">
      <c r="B11" s="15" t="str">
        <f>IF(Estaciones!B11="","",Estaciones!B11)</f>
        <v>Inactiva</v>
      </c>
      <c r="C11" s="20" t="str">
        <f>IF(Servidores!C11="","",Servidores!C11)</f>
        <v>Estación reproceso</v>
      </c>
      <c r="D11" s="32" t="str">
        <f>IF(Servidores!D11="","",Servidores!D11)</f>
        <v/>
      </c>
      <c r="E11" s="69" t="str">
        <f>IF(OR('Tasa de proceso &amp; eficiencia'!E11=0,'Tasa de proceso &amp; eficiencia'!E11=""),"",'Tasa de proceso &amp; eficiencia'!E11*'Tasa de proceso &amp; eficiencia'!F11)</f>
        <v/>
      </c>
      <c r="F11" s="72" t="str">
        <f t="shared" si="0"/>
        <v/>
      </c>
      <c r="G11" s="33" t="str">
        <f>IFERROR(IF('Throughput Total'!$C$2/'% ocupación &amp; balance de línea'!E11=ROUNDUP('Throughput Total'!$C$2/'% ocupación &amp; balance de línea'!E11,0),'Throughput Total'!$C$2/'% ocupación &amp; balance de línea'!E11+1,ROUNDUP('Throughput Total'!$C$2/'% ocupación &amp; balance de línea'!E11,0)),IF(D11="","",1))</f>
        <v/>
      </c>
      <c r="H11" s="73" t="str">
        <f>IFERROR('Throughput Total'!$C$2/('% ocupación &amp; balance de línea'!E11*'% ocupación &amp; balance de línea'!G11),"")</f>
        <v/>
      </c>
    </row>
    <row r="12" spans="1:14" x14ac:dyDescent="0.25">
      <c r="B12" s="15" t="str">
        <f>IF(Estaciones!B12="","",Estaciones!B12)</f>
        <v>Inactiva</v>
      </c>
      <c r="C12" s="20" t="str">
        <f>IF(Servidores!C12="","",Servidores!C12)</f>
        <v/>
      </c>
      <c r="D12" s="32" t="str">
        <f>IF(Servidores!D12="","",Servidores!D12)</f>
        <v/>
      </c>
      <c r="E12" s="69" t="str">
        <f>IF(OR('Tasa de proceso &amp; eficiencia'!E12=0,'Tasa de proceso &amp; eficiencia'!E12=""),"",'Tasa de proceso &amp; eficiencia'!E12*'Tasa de proceso &amp; eficiencia'!F12)</f>
        <v/>
      </c>
      <c r="F12" s="72" t="str">
        <f t="shared" si="0"/>
        <v/>
      </c>
      <c r="G12" s="33" t="str">
        <f>IFERROR(IF('Throughput Total'!$C$2/'% ocupación &amp; balance de línea'!E12=ROUNDUP('Throughput Total'!$C$2/'% ocupación &amp; balance de línea'!E12,0),'Throughput Total'!$C$2/'% ocupación &amp; balance de línea'!E12+1,ROUNDUP('Throughput Total'!$C$2/'% ocupación &amp; balance de línea'!E12,0)),IF(D12="","",1))</f>
        <v/>
      </c>
      <c r="H12" s="73" t="str">
        <f>IFERROR('Throughput Total'!$C$2/('% ocupación &amp; balance de línea'!E12*'% ocupación &amp; balance de línea'!G12),"")</f>
        <v/>
      </c>
    </row>
    <row r="13" spans="1:14" x14ac:dyDescent="0.25">
      <c r="B13" s="15" t="str">
        <f>IF(Estaciones!B13="","",Estaciones!B13)</f>
        <v>Inactiva</v>
      </c>
      <c r="C13" s="20" t="str">
        <f>IF(Servidores!C13="","",Servidores!C13)</f>
        <v/>
      </c>
      <c r="D13" s="32" t="str">
        <f>IF(Servidores!D13="","",Servidores!D13)</f>
        <v/>
      </c>
      <c r="E13" s="69" t="str">
        <f>IF(OR('Tasa de proceso &amp; eficiencia'!E13=0,'Tasa de proceso &amp; eficiencia'!E13=""),"",'Tasa de proceso &amp; eficiencia'!E13*'Tasa de proceso &amp; eficiencia'!F13)</f>
        <v/>
      </c>
      <c r="F13" s="72" t="str">
        <f t="shared" si="0"/>
        <v/>
      </c>
      <c r="G13" s="33" t="str">
        <f>IFERROR(IF('Throughput Total'!$C$2/'% ocupación &amp; balance de línea'!E13=ROUNDUP('Throughput Total'!$C$2/'% ocupación &amp; balance de línea'!E13,0),'Throughput Total'!$C$2/'% ocupación &amp; balance de línea'!E13+1,ROUNDUP('Throughput Total'!$C$2/'% ocupación &amp; balance de línea'!E13,0)),IF(D13="","",1))</f>
        <v/>
      </c>
      <c r="H13" s="73" t="str">
        <f>IFERROR('Throughput Total'!$C$2/('% ocupación &amp; balance de línea'!E13*'% ocupación &amp; balance de línea'!G13),"")</f>
        <v/>
      </c>
    </row>
    <row r="14" spans="1:14" x14ac:dyDescent="0.25">
      <c r="B14" s="15" t="str">
        <f>IF(Estaciones!B14="","",Estaciones!B14)</f>
        <v>Inactiva</v>
      </c>
      <c r="C14" s="20" t="str">
        <f>IF(Servidores!C14="","",Servidores!C14)</f>
        <v/>
      </c>
      <c r="D14" s="32" t="str">
        <f>IF(Servidores!D14="","",Servidores!D14)</f>
        <v/>
      </c>
      <c r="E14" s="69" t="str">
        <f>IF(OR('Tasa de proceso &amp; eficiencia'!E14=0,'Tasa de proceso &amp; eficiencia'!E14=""),"",'Tasa de proceso &amp; eficiencia'!E14*'Tasa de proceso &amp; eficiencia'!F14)</f>
        <v/>
      </c>
      <c r="F14" s="72" t="str">
        <f t="shared" si="0"/>
        <v/>
      </c>
      <c r="G14" s="33" t="str">
        <f>IFERROR(IF('Throughput Total'!$C$2/'% ocupación &amp; balance de línea'!E14=ROUNDUP('Throughput Total'!$C$2/'% ocupación &amp; balance de línea'!E14,0),'Throughput Total'!$C$2/'% ocupación &amp; balance de línea'!E14+1,ROUNDUP('Throughput Total'!$C$2/'% ocupación &amp; balance de línea'!E14,0)),IF(D14="","",1))</f>
        <v/>
      </c>
      <c r="H14" s="73" t="str">
        <f>IFERROR('Throughput Total'!$C$2/('% ocupación &amp; balance de línea'!E14*'% ocupación &amp; balance de línea'!G14),"")</f>
        <v/>
      </c>
    </row>
    <row r="15" spans="1:14" x14ac:dyDescent="0.25">
      <c r="B15" s="15" t="str">
        <f>IF(Estaciones!B15="","",Estaciones!B15)</f>
        <v>Inactiva</v>
      </c>
      <c r="C15" s="20" t="str">
        <f>IF(Servidores!C15="","",Servidores!C15)</f>
        <v/>
      </c>
      <c r="D15" s="32" t="str">
        <f>IF(Servidores!D15="","",Servidores!D15)</f>
        <v/>
      </c>
      <c r="E15" s="69" t="str">
        <f>IF(OR('Tasa de proceso &amp; eficiencia'!E15=0,'Tasa de proceso &amp; eficiencia'!E15=""),"",'Tasa de proceso &amp; eficiencia'!E15*'Tasa de proceso &amp; eficiencia'!F15)</f>
        <v/>
      </c>
      <c r="F15" s="72" t="str">
        <f t="shared" si="0"/>
        <v/>
      </c>
      <c r="G15" s="33" t="str">
        <f>IFERROR(IF('Throughput Total'!$C$2/'% ocupación &amp; balance de línea'!E15=ROUNDUP('Throughput Total'!$C$2/'% ocupación &amp; balance de línea'!E15,0),'Throughput Total'!$C$2/'% ocupación &amp; balance de línea'!E15+1,ROUNDUP('Throughput Total'!$C$2/'% ocupación &amp; balance de línea'!E15,0)),IF(D15="","",1))</f>
        <v/>
      </c>
      <c r="H15" s="73" t="str">
        <f>IFERROR('Throughput Total'!$C$2/('% ocupación &amp; balance de línea'!E15*'% ocupación &amp; balance de línea'!G15),"")</f>
        <v/>
      </c>
    </row>
    <row r="16" spans="1:14" x14ac:dyDescent="0.25">
      <c r="B16" s="15" t="str">
        <f>IF(Estaciones!B16="","",Estaciones!B16)</f>
        <v>Inactiva</v>
      </c>
      <c r="C16" s="20" t="str">
        <f>IF(Servidores!C16="","",Servidores!C16)</f>
        <v/>
      </c>
      <c r="D16" s="32" t="str">
        <f>IF(Servidores!D16="","",Servidores!D16)</f>
        <v/>
      </c>
      <c r="E16" s="69" t="str">
        <f>IF(OR('Tasa de proceso &amp; eficiencia'!E16=0,'Tasa de proceso &amp; eficiencia'!E16=""),"",'Tasa de proceso &amp; eficiencia'!E16*'Tasa de proceso &amp; eficiencia'!F16)</f>
        <v/>
      </c>
      <c r="F16" s="72" t="str">
        <f t="shared" si="0"/>
        <v/>
      </c>
      <c r="G16" s="33" t="str">
        <f>IFERROR(IF('Throughput Total'!$C$2/'% ocupación &amp; balance de línea'!E16=ROUNDUP('Throughput Total'!$C$2/'% ocupación &amp; balance de línea'!E16,0),'Throughput Total'!$C$2/'% ocupación &amp; balance de línea'!E16+1,ROUNDUP('Throughput Total'!$C$2/'% ocupación &amp; balance de línea'!E16,0)),IF(D16="","",1))</f>
        <v/>
      </c>
      <c r="H16" s="73" t="str">
        <f>IFERROR('Throughput Total'!$C$2/('% ocupación &amp; balance de línea'!E16*'% ocupación &amp; balance de línea'!G16),"")</f>
        <v/>
      </c>
    </row>
    <row r="17" spans="2:8" x14ac:dyDescent="0.25">
      <c r="B17" s="15" t="str">
        <f>IF(Estaciones!B17="","",Estaciones!B17)</f>
        <v>Inactiva</v>
      </c>
      <c r="C17" s="20" t="str">
        <f>IF(Servidores!C17="","",Servidores!C17)</f>
        <v/>
      </c>
      <c r="D17" s="32" t="str">
        <f>IF(Servidores!D17="","",Servidores!D17)</f>
        <v/>
      </c>
      <c r="E17" s="69" t="str">
        <f>IF(OR('Tasa de proceso &amp; eficiencia'!E17=0,'Tasa de proceso &amp; eficiencia'!E17=""),"",'Tasa de proceso &amp; eficiencia'!E17*'Tasa de proceso &amp; eficiencia'!F17)</f>
        <v/>
      </c>
      <c r="F17" s="72" t="str">
        <f t="shared" si="0"/>
        <v/>
      </c>
      <c r="G17" s="33" t="str">
        <f>IFERROR(IF('Throughput Total'!$C$2/'% ocupación &amp; balance de línea'!E17=ROUNDUP('Throughput Total'!$C$2/'% ocupación &amp; balance de línea'!E17,0),'Throughput Total'!$C$2/'% ocupación &amp; balance de línea'!E17+1,ROUNDUP('Throughput Total'!$C$2/'% ocupación &amp; balance de línea'!E17,0)),IF(D17="","",1))</f>
        <v/>
      </c>
      <c r="H17" s="73" t="str">
        <f>IFERROR('Throughput Total'!$C$2/('% ocupación &amp; balance de línea'!E17*'% ocupación &amp; balance de línea'!G17),"")</f>
        <v/>
      </c>
    </row>
    <row r="18" spans="2:8" x14ac:dyDescent="0.25">
      <c r="B18" s="15" t="str">
        <f>IF(Estaciones!B18="","",Estaciones!B18)</f>
        <v>Inactiva</v>
      </c>
      <c r="C18" s="20" t="str">
        <f>IF(Servidores!C18="","",Servidores!C18)</f>
        <v/>
      </c>
      <c r="D18" s="32" t="str">
        <f>IF(Servidores!D18="","",Servidores!D18)</f>
        <v/>
      </c>
      <c r="E18" s="69" t="str">
        <f>IF(OR('Tasa de proceso &amp; eficiencia'!E18=0,'Tasa de proceso &amp; eficiencia'!E18=""),"",'Tasa de proceso &amp; eficiencia'!E18*'Tasa de proceso &amp; eficiencia'!F18)</f>
        <v/>
      </c>
      <c r="F18" s="72" t="str">
        <f t="shared" si="0"/>
        <v/>
      </c>
      <c r="G18" s="33" t="str">
        <f>IFERROR(IF('Throughput Total'!$C$2/'% ocupación &amp; balance de línea'!E18=ROUNDUP('Throughput Total'!$C$2/'% ocupación &amp; balance de línea'!E18,0),'Throughput Total'!$C$2/'% ocupación &amp; balance de línea'!E18+1,ROUNDUP('Throughput Total'!$C$2/'% ocupación &amp; balance de línea'!E18,0)),IF(D18="","",1))</f>
        <v/>
      </c>
      <c r="H18" s="73" t="str">
        <f>IFERROR('Throughput Total'!$C$2/('% ocupación &amp; balance de línea'!E18*'% ocupación &amp; balance de línea'!G18),"")</f>
        <v/>
      </c>
    </row>
    <row r="19" spans="2:8" x14ac:dyDescent="0.25">
      <c r="B19" s="15" t="str">
        <f>IF(Estaciones!B19="","",Estaciones!B19)</f>
        <v>Inactiva</v>
      </c>
      <c r="C19" s="20" t="str">
        <f>IF(Servidores!C19="","",Servidores!C19)</f>
        <v/>
      </c>
      <c r="D19" s="32" t="str">
        <f>IF(Servidores!D19="","",Servidores!D19)</f>
        <v/>
      </c>
      <c r="E19" s="69" t="str">
        <f>IF(OR('Tasa de proceso &amp; eficiencia'!E19=0,'Tasa de proceso &amp; eficiencia'!E19=""),"",'Tasa de proceso &amp; eficiencia'!E19*'Tasa de proceso &amp; eficiencia'!F19)</f>
        <v/>
      </c>
      <c r="F19" s="72" t="str">
        <f t="shared" si="0"/>
        <v/>
      </c>
      <c r="G19" s="33" t="str">
        <f>IFERROR(IF('Throughput Total'!$C$2/'% ocupación &amp; balance de línea'!E19=ROUNDUP('Throughput Total'!$C$2/'% ocupación &amp; balance de línea'!E19,0),'Throughput Total'!$C$2/'% ocupación &amp; balance de línea'!E19+1,ROUNDUP('Throughput Total'!$C$2/'% ocupación &amp; balance de línea'!E19,0)),IF(D19="","",1))</f>
        <v/>
      </c>
      <c r="H19" s="73" t="str">
        <f>IFERROR('Throughput Total'!$C$2/('% ocupación &amp; balance de línea'!E19*'% ocupación &amp; balance de línea'!G19),"")</f>
        <v/>
      </c>
    </row>
    <row r="20" spans="2:8" x14ac:dyDescent="0.25">
      <c r="B20" s="15" t="str">
        <f>IF(Estaciones!B20="","",Estaciones!B20)</f>
        <v>Inactiva</v>
      </c>
      <c r="C20" s="20" t="str">
        <f>IF(Servidores!C20="","",Servidores!C20)</f>
        <v/>
      </c>
      <c r="D20" s="32" t="str">
        <f>IF(Servidores!D20="","",Servidores!D20)</f>
        <v/>
      </c>
      <c r="E20" s="69" t="str">
        <f>IF(OR('Tasa de proceso &amp; eficiencia'!E20=0,'Tasa de proceso &amp; eficiencia'!E20=""),"",'Tasa de proceso &amp; eficiencia'!E20*'Tasa de proceso &amp; eficiencia'!F20)</f>
        <v/>
      </c>
      <c r="F20" s="72" t="str">
        <f t="shared" si="0"/>
        <v/>
      </c>
      <c r="G20" s="33" t="str">
        <f>IFERROR(IF('Throughput Total'!$C$2/'% ocupación &amp; balance de línea'!E20=ROUNDUP('Throughput Total'!$C$2/'% ocupación &amp; balance de línea'!E20,0),'Throughput Total'!$C$2/'% ocupación &amp; balance de línea'!E20+1,ROUNDUP('Throughput Total'!$C$2/'% ocupación &amp; balance de línea'!E20,0)),IF(D20="","",1))</f>
        <v/>
      </c>
      <c r="H20" s="73" t="str">
        <f>IFERROR('Throughput Total'!$C$2/('% ocupación &amp; balance de línea'!E20*'% ocupación &amp; balance de línea'!G20),"")</f>
        <v/>
      </c>
    </row>
    <row r="21" spans="2:8" x14ac:dyDescent="0.25">
      <c r="B21" s="15" t="str">
        <f>IF(Estaciones!B21="","",Estaciones!B21)</f>
        <v>Inactiva</v>
      </c>
      <c r="C21" s="20" t="str">
        <f>IF(Servidores!C21="","",Servidores!C21)</f>
        <v/>
      </c>
      <c r="D21" s="32" t="str">
        <f>IF(Servidores!D21="","",Servidores!D21)</f>
        <v/>
      </c>
      <c r="E21" s="69" t="str">
        <f>IF(OR('Tasa de proceso &amp; eficiencia'!E21=0,'Tasa de proceso &amp; eficiencia'!E21=""),"",'Tasa de proceso &amp; eficiencia'!E21*'Tasa de proceso &amp; eficiencia'!F21)</f>
        <v/>
      </c>
      <c r="F21" s="72" t="str">
        <f t="shared" si="0"/>
        <v/>
      </c>
      <c r="G21" s="33" t="str">
        <f>IFERROR(IF('Throughput Total'!$C$2/'% ocupación &amp; balance de línea'!E21=ROUNDUP('Throughput Total'!$C$2/'% ocupación &amp; balance de línea'!E21,0),'Throughput Total'!$C$2/'% ocupación &amp; balance de línea'!E21+1,ROUNDUP('Throughput Total'!$C$2/'% ocupación &amp; balance de línea'!E21,0)),IF(D21="","",1))</f>
        <v/>
      </c>
      <c r="H21" s="73" t="str">
        <f>IFERROR('Throughput Total'!$C$2/('% ocupación &amp; balance de línea'!E21*'% ocupación &amp; balance de línea'!G21),"")</f>
        <v/>
      </c>
    </row>
    <row r="22" spans="2:8" x14ac:dyDescent="0.25">
      <c r="B22" s="15" t="str">
        <f>IF(Estaciones!B22="","",Estaciones!B22)</f>
        <v>Inactiva</v>
      </c>
      <c r="C22" s="20" t="str">
        <f>IF(Servidores!C22="","",Servidores!C22)</f>
        <v/>
      </c>
      <c r="D22" s="32" t="str">
        <f>IF(Servidores!D22="","",Servidores!D22)</f>
        <v/>
      </c>
      <c r="E22" s="69" t="str">
        <f>IF(OR('Tasa de proceso &amp; eficiencia'!E22=0,'Tasa de proceso &amp; eficiencia'!E22=""),"",'Tasa de proceso &amp; eficiencia'!E22*'Tasa de proceso &amp; eficiencia'!F22)</f>
        <v/>
      </c>
      <c r="F22" s="72" t="str">
        <f t="shared" si="0"/>
        <v/>
      </c>
      <c r="G22" s="33" t="str">
        <f>IFERROR(IF('Throughput Total'!$C$2/'% ocupación &amp; balance de línea'!E22=ROUNDUP('Throughput Total'!$C$2/'% ocupación &amp; balance de línea'!E22,0),'Throughput Total'!$C$2/'% ocupación &amp; balance de línea'!E22+1,ROUNDUP('Throughput Total'!$C$2/'% ocupación &amp; balance de línea'!E22,0)),IF(D22="","",1))</f>
        <v/>
      </c>
      <c r="H22" s="73" t="str">
        <f>IFERROR('Throughput Total'!$C$2/('% ocupación &amp; balance de línea'!E22*'% ocupación &amp; balance de línea'!G22),"")</f>
        <v/>
      </c>
    </row>
  </sheetData>
  <mergeCells count="2">
    <mergeCell ref="A1:D1"/>
    <mergeCell ref="E1:F1"/>
  </mergeCells>
  <conditionalFormatting sqref="B3:B22">
    <cfRule type="cellIs" dxfId="4" priority="3" operator="equal">
      <formula>"Activa"</formula>
    </cfRule>
  </conditionalFormatting>
  <conditionalFormatting sqref="D4 D6:D22">
    <cfRule type="cellIs" dxfId="3" priority="2" operator="equal">
      <formula>"Activa"</formula>
    </cfRule>
  </conditionalFormatting>
  <conditionalFormatting sqref="H3:H22">
    <cfRule type="cellIs" dxfId="0" priority="1" operator="equal">
      <formula>MAX($H$3:$H$22)</formula>
    </cfRule>
  </conditionalFormatting>
  <dataValidations count="1">
    <dataValidation type="list" allowBlank="1" showInputMessage="1" showErrorMessage="1" sqref="B3:B22">
      <formula1>Activacion</formula1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0070C0"/>
  </sheetPr>
  <dimension ref="A1:N22"/>
  <sheetViews>
    <sheetView showGridLines="0" workbookViewId="0">
      <selection activeCell="I28" sqref="I28"/>
    </sheetView>
  </sheetViews>
  <sheetFormatPr baseColWidth="10" defaultRowHeight="15" x14ac:dyDescent="0.25"/>
  <cols>
    <col min="1" max="1" width="2.140625" customWidth="1"/>
    <col min="2" max="2" width="15.7109375" bestFit="1" customWidth="1"/>
    <col min="3" max="3" width="24" bestFit="1" customWidth="1"/>
    <col min="4" max="4" width="21.5703125" customWidth="1"/>
    <col min="5" max="5" width="14.28515625" customWidth="1"/>
    <col min="6" max="6" width="14.42578125" bestFit="1" customWidth="1"/>
    <col min="7" max="7" width="14.42578125" customWidth="1"/>
    <col min="8" max="8" width="14" customWidth="1"/>
    <col min="9" max="9" width="15.140625" customWidth="1"/>
    <col min="10" max="10" width="16.85546875" customWidth="1"/>
    <col min="11" max="11" width="17.5703125" customWidth="1"/>
    <col min="12" max="12" width="13" customWidth="1"/>
  </cols>
  <sheetData>
    <row r="1" spans="1:14" s="12" customFormat="1" ht="86.25" customHeight="1" x14ac:dyDescent="0.2">
      <c r="A1" s="155"/>
      <c r="B1" s="155"/>
      <c r="C1" s="155"/>
      <c r="D1" s="155"/>
      <c r="E1" s="155"/>
      <c r="F1" s="155"/>
      <c r="G1" s="10"/>
      <c r="H1" s="11"/>
      <c r="I1" s="10"/>
      <c r="J1" s="11"/>
    </row>
    <row r="2" spans="1:14" ht="24.75" customHeight="1" x14ac:dyDescent="0.25">
      <c r="B2" s="13" t="s">
        <v>251</v>
      </c>
      <c r="C2" s="13" t="s">
        <v>38</v>
      </c>
      <c r="D2" s="13" t="s">
        <v>53</v>
      </c>
      <c r="E2" s="71" t="s">
        <v>129</v>
      </c>
      <c r="F2" s="71" t="s">
        <v>130</v>
      </c>
      <c r="G2" s="71" t="s">
        <v>131</v>
      </c>
      <c r="H2" s="71" t="s">
        <v>128</v>
      </c>
      <c r="I2" s="71" t="s">
        <v>146</v>
      </c>
      <c r="J2" s="71" t="s">
        <v>148</v>
      </c>
      <c r="K2" s="71" t="s">
        <v>147</v>
      </c>
      <c r="L2" s="80" t="s">
        <v>149</v>
      </c>
      <c r="N2" s="68"/>
    </row>
    <row r="3" spans="1:14" x14ac:dyDescent="0.25">
      <c r="B3" s="15" t="str">
        <f>IF(Estaciones!B3="","",Estaciones!B3)</f>
        <v>Activa</v>
      </c>
      <c r="C3" s="20" t="str">
        <f>IF(Servidores!C3="","",Servidores!C3)</f>
        <v>Estación torneado</v>
      </c>
      <c r="D3" s="32" t="str">
        <f>IF(Servidores!D3="","",Servidores!D3)</f>
        <v>Torno</v>
      </c>
      <c r="E3" s="74">
        <f>IF(B3="Inactiva","",'Parámetros Servidores'!E3*'Parámetros Servidores'!F3*'% ocupación &amp; balance de línea'!G3)</f>
        <v>15</v>
      </c>
      <c r="F3" s="74">
        <f>IFERROR(E3*'Parámetros Servidores'!G3,"")</f>
        <v>45</v>
      </c>
      <c r="G3" s="74">
        <f>IFERROR((E3+F3)*'Throughput Total'!$C$4,"")</f>
        <v>10.5</v>
      </c>
      <c r="H3" s="74">
        <f>IFERROR(G3+F3+E3,"")</f>
        <v>70.5</v>
      </c>
      <c r="I3" s="33">
        <f>IFERROR('Parámetros Servidores'!E3/'Parámetros Servidores'!F3,"")</f>
        <v>1.3333333333333333</v>
      </c>
      <c r="J3" s="74">
        <f>IFERROR(K3*I3,"")</f>
        <v>9.6953597148326569</v>
      </c>
      <c r="K3" s="74">
        <f>IFERROR(SQRT(H3/I3),"")</f>
        <v>7.2715197861244931</v>
      </c>
      <c r="L3" s="33">
        <f>'% ocupación &amp; balance de línea'!G3</f>
        <v>5</v>
      </c>
      <c r="M3" s="68"/>
      <c r="N3" s="68"/>
    </row>
    <row r="4" spans="1:14" x14ac:dyDescent="0.25">
      <c r="B4" s="15" t="str">
        <f>IF(Estaciones!B4="","",Estaciones!B4)</f>
        <v>Activa</v>
      </c>
      <c r="C4" s="20" t="str">
        <f>IF(Servidores!C4="","",Servidores!C4)</f>
        <v>Estación pulido</v>
      </c>
      <c r="D4" s="32" t="str">
        <f>IF(Servidores!D4="","",Servidores!D4)</f>
        <v>Pulidora</v>
      </c>
      <c r="E4" s="74">
        <f>IF(B4="Inactiva","",'Parámetros Servidores'!E4*'Parámetros Servidores'!F4*'% ocupación &amp; balance de línea'!G4)</f>
        <v>18</v>
      </c>
      <c r="F4" s="74">
        <f>IFERROR(E4*'Parámetros Servidores'!G4,"")</f>
        <v>36</v>
      </c>
      <c r="G4" s="74">
        <f>IFERROR((E4+F4)*'Throughput Total'!$C$4,"")</f>
        <v>9.4499999999999993</v>
      </c>
      <c r="H4" s="74">
        <f t="shared" ref="H4:H22" si="0">IFERROR(G4+F4+E4,"")</f>
        <v>63.45</v>
      </c>
      <c r="I4" s="33">
        <f>IFERROR('Parámetros Servidores'!E4/'Parámetros Servidores'!F4,"")</f>
        <v>1.5</v>
      </c>
      <c r="J4" s="74">
        <f t="shared" ref="J4:J22" si="1">IFERROR(K4*I4,"")</f>
        <v>9.7557675249054601</v>
      </c>
      <c r="K4" s="74">
        <f t="shared" ref="K4:K22" si="2">IFERROR(SQRT(H4/I4),"")</f>
        <v>6.5038450166036403</v>
      </c>
      <c r="L4" s="33">
        <f>'% ocupación &amp; balance de línea'!G4</f>
        <v>3</v>
      </c>
    </row>
    <row r="5" spans="1:14" x14ac:dyDescent="0.25">
      <c r="B5" s="15" t="str">
        <f>IF(Estaciones!B5="","",Estaciones!B5)</f>
        <v>Activa</v>
      </c>
      <c r="C5" s="20" t="str">
        <f>IF(Servidores!C5="","",Servidores!C5)</f>
        <v>Estación fresado</v>
      </c>
      <c r="D5" s="32" t="str">
        <f>IF(Servidores!D5="","",Servidores!D5)</f>
        <v>Fresadora</v>
      </c>
      <c r="E5" s="74">
        <f>IF(B5="Inactiva","",'Parámetros Servidores'!E5*'Parámetros Servidores'!F5*'% ocupación &amp; balance de línea'!G5)</f>
        <v>11.700000000000001</v>
      </c>
      <c r="F5" s="74">
        <f>IFERROR(E5*'Parámetros Servidores'!G5,"")</f>
        <v>23.400000000000002</v>
      </c>
      <c r="G5" s="74">
        <f>IFERROR((E5+F5)*'Throughput Total'!$C$4,"")</f>
        <v>6.1425000000000001</v>
      </c>
      <c r="H5" s="74">
        <f t="shared" si="0"/>
        <v>41.242500000000007</v>
      </c>
      <c r="I5" s="33">
        <f>IFERROR('Parámetros Servidores'!E5/'Parámetros Servidores'!F5,"")</f>
        <v>1.1538461538461537</v>
      </c>
      <c r="J5" s="74">
        <f t="shared" si="1"/>
        <v>6.8983693725401514</v>
      </c>
      <c r="K5" s="74">
        <f t="shared" si="2"/>
        <v>5.9785867895347984</v>
      </c>
      <c r="L5" s="33">
        <f>'% ocupación &amp; balance de línea'!G5</f>
        <v>6</v>
      </c>
    </row>
    <row r="6" spans="1:14" x14ac:dyDescent="0.25">
      <c r="B6" s="15" t="str">
        <f>IF(Estaciones!B6="","",Estaciones!B6)</f>
        <v>Activa</v>
      </c>
      <c r="C6" s="20" t="str">
        <f>IF(Servidores!C6="","",Servidores!C6)</f>
        <v>Estación limado</v>
      </c>
      <c r="D6" s="32" t="str">
        <f>IF(Servidores!D6="","",Servidores!D6)</f>
        <v>Limadora</v>
      </c>
      <c r="E6" s="74">
        <f>IF(B6="Inactiva","",'Parámetros Servidores'!E6*'Parámetros Servidores'!F6*'% ocupación &amp; balance de línea'!G6)</f>
        <v>14.4</v>
      </c>
      <c r="F6" s="74">
        <f>IFERROR(E6*'Parámetros Servidores'!G6,"")</f>
        <v>28.8</v>
      </c>
      <c r="G6" s="74">
        <f>IFERROR((E6+F6)*'Throughput Total'!$C$4,"")</f>
        <v>7.56</v>
      </c>
      <c r="H6" s="74">
        <f t="shared" si="0"/>
        <v>50.76</v>
      </c>
      <c r="I6" s="33">
        <f>IFERROR('Parámetros Servidores'!E6/'Parámetros Servidores'!F6,"")</f>
        <v>1.1111111111111112</v>
      </c>
      <c r="J6" s="74">
        <f t="shared" si="1"/>
        <v>7.5099933422074354</v>
      </c>
      <c r="K6" s="74">
        <f t="shared" si="2"/>
        <v>6.7589940079866917</v>
      </c>
      <c r="L6" s="33">
        <f>'% ocupación &amp; balance de línea'!G6</f>
        <v>4</v>
      </c>
    </row>
    <row r="7" spans="1:14" x14ac:dyDescent="0.25">
      <c r="B7" s="15" t="str">
        <f>IF(Estaciones!B7="","",Estaciones!B7)</f>
        <v>Activa</v>
      </c>
      <c r="C7" s="20" t="str">
        <f>IF(Servidores!C7="","",Servidores!C7)</f>
        <v>Estación empaque</v>
      </c>
      <c r="D7" s="32" t="str">
        <f>IF(Servidores!D7="","",Servidores!D7)</f>
        <v>Empacador</v>
      </c>
      <c r="E7" s="74">
        <f>IF(B7="Inactiva","",'Parámetros Servidores'!E7*'Parámetros Servidores'!F7*'% ocupación &amp; balance de línea'!G7)</f>
        <v>2.25</v>
      </c>
      <c r="F7" s="74">
        <f>IFERROR(E7*'Parámetros Servidores'!G7,"")</f>
        <v>2.25</v>
      </c>
      <c r="G7" s="74">
        <f>IFERROR((E7+F7)*'Throughput Total'!$C$4,"")</f>
        <v>0.78749999999999998</v>
      </c>
      <c r="H7" s="74">
        <f t="shared" si="0"/>
        <v>5.2874999999999996</v>
      </c>
      <c r="I7" s="33">
        <f>IFERROR('Parámetros Servidores'!E7/'Parámetros Servidores'!F7,"")</f>
        <v>1</v>
      </c>
      <c r="J7" s="74">
        <f t="shared" si="1"/>
        <v>2.2994564575133838</v>
      </c>
      <c r="K7" s="74">
        <f t="shared" si="2"/>
        <v>2.2994564575133838</v>
      </c>
      <c r="L7" s="33">
        <f>'% ocupación &amp; balance de línea'!G7</f>
        <v>1</v>
      </c>
    </row>
    <row r="8" spans="1:14" x14ac:dyDescent="0.25">
      <c r="B8" s="15" t="str">
        <f>IF(Estaciones!B8="","",Estaciones!B8)</f>
        <v>Activa</v>
      </c>
      <c r="C8" s="20" t="str">
        <f>IF(Servidores!C8="","",Servidores!C8)</f>
        <v>Bodega materia prima</v>
      </c>
      <c r="D8" s="32" t="str">
        <f>IF(Servidores!D8="","",Servidores!D8)</f>
        <v>Bodega A</v>
      </c>
      <c r="E8" s="74">
        <f>IF(B8="Inactiva","",'Parámetros Servidores'!E8*'Parámetros Servidores'!F8*'% ocupación &amp; balance de línea'!G8)</f>
        <v>20</v>
      </c>
      <c r="F8" s="74">
        <f>IFERROR(E8*'Parámetros Servidores'!G8,"")</f>
        <v>0</v>
      </c>
      <c r="G8" s="74">
        <f>IFERROR((E8+F8)*'Throughput Total'!$C$4,"")</f>
        <v>3.5</v>
      </c>
      <c r="H8" s="74">
        <f t="shared" si="0"/>
        <v>23.5</v>
      </c>
      <c r="I8" s="33">
        <f>IFERROR('Parámetros Servidores'!E8/'Parámetros Servidores'!F8,"")</f>
        <v>1.25</v>
      </c>
      <c r="J8" s="74">
        <f t="shared" si="1"/>
        <v>5.4198708471697001</v>
      </c>
      <c r="K8" s="74">
        <f t="shared" si="2"/>
        <v>4.3358966777357599</v>
      </c>
      <c r="L8" s="33">
        <f>'% ocupación &amp; balance de línea'!G8</f>
        <v>1</v>
      </c>
    </row>
    <row r="9" spans="1:14" x14ac:dyDescent="0.25">
      <c r="B9" s="15" t="str">
        <f>IF(Estaciones!B9="","",Estaciones!B9)</f>
        <v>Activa</v>
      </c>
      <c r="C9" s="20" t="str">
        <f>IF(Servidores!C9="","",Servidores!C9)</f>
        <v>Bodega producto terminado</v>
      </c>
      <c r="D9" s="32" t="str">
        <f>IF(Servidores!D9="","",Servidores!D9)</f>
        <v>Bodega B</v>
      </c>
      <c r="E9" s="74">
        <f>IF(B9="Inactiva","",'Parámetros Servidores'!E9*'Parámetros Servidores'!F9*'% ocupación &amp; balance de línea'!G9)</f>
        <v>17.5</v>
      </c>
      <c r="F9" s="74">
        <f>IFERROR(E9*'Parámetros Servidores'!G9,"")</f>
        <v>0</v>
      </c>
      <c r="G9" s="74">
        <f>IFERROR((E9+F9)*'Throughput Total'!$C$4,"")</f>
        <v>3.0625</v>
      </c>
      <c r="H9" s="74">
        <f t="shared" si="0"/>
        <v>20.5625</v>
      </c>
      <c r="I9" s="33">
        <f>IFERROR('Parámetros Servidores'!E9/'Parámetros Servidores'!F9,"")</f>
        <v>1.4285714285714286</v>
      </c>
      <c r="J9" s="74">
        <f t="shared" si="1"/>
        <v>5.4198708471697001</v>
      </c>
      <c r="K9" s="74">
        <f t="shared" si="2"/>
        <v>3.7939095930187898</v>
      </c>
      <c r="L9" s="33">
        <f>'% ocupación &amp; balance de línea'!G9</f>
        <v>1</v>
      </c>
    </row>
    <row r="10" spans="1:14" x14ac:dyDescent="0.25">
      <c r="B10" s="15" t="str">
        <f>IF(Estaciones!B10="","",Estaciones!B10)</f>
        <v>Activa</v>
      </c>
      <c r="C10" s="20" t="str">
        <f>IF(Servidores!C10="","",Servidores!C10)</f>
        <v>Estación inspección</v>
      </c>
      <c r="D10" s="32" t="str">
        <f>IF(Servidores!D10="","",Servidores!D10)</f>
        <v>Servidor inspección</v>
      </c>
      <c r="E10" s="74">
        <f>IF(B10="Inactiva","",'Parámetros Servidores'!E10*'Parámetros Servidores'!F10*'% ocupación &amp; balance de línea'!G10)</f>
        <v>8</v>
      </c>
      <c r="F10" s="74">
        <f>IFERROR(E10*'Parámetros Servidores'!G10,"")</f>
        <v>16</v>
      </c>
      <c r="G10" s="74">
        <f>IFERROR((E10+F10)*'Throughput Total'!$C$4,"")</f>
        <v>4.1999999999999993</v>
      </c>
      <c r="H10" s="74">
        <f t="shared" si="0"/>
        <v>28.2</v>
      </c>
      <c r="I10" s="33">
        <f>IFERROR('Parámetros Servidores'!E10/'Parámetros Servidores'!F10,"")</f>
        <v>1</v>
      </c>
      <c r="J10" s="74">
        <f t="shared" si="1"/>
        <v>5.3103672189407014</v>
      </c>
      <c r="K10" s="74">
        <f t="shared" si="2"/>
        <v>5.3103672189407014</v>
      </c>
      <c r="L10" s="33">
        <f>'% ocupación &amp; balance de línea'!G10</f>
        <v>2</v>
      </c>
    </row>
    <row r="11" spans="1:14" x14ac:dyDescent="0.25">
      <c r="B11" s="15" t="str">
        <f>IF(Estaciones!B11="","",Estaciones!B11)</f>
        <v>Inactiva</v>
      </c>
      <c r="C11" s="20" t="str">
        <f>IF(Servidores!C11="","",Servidores!C11)</f>
        <v>Estación reproceso</v>
      </c>
      <c r="D11" s="32" t="str">
        <f>IF(Servidores!D11="","",Servidores!D11)</f>
        <v/>
      </c>
      <c r="E11" s="74" t="str">
        <f>IF(B11="Inactiva","",'Parámetros Servidores'!E11*'Parámetros Servidores'!F11*'% ocupación &amp; balance de línea'!G11)</f>
        <v/>
      </c>
      <c r="F11" s="74" t="str">
        <f>IFERROR(E11*'Parámetros Servidores'!G11,"")</f>
        <v/>
      </c>
      <c r="G11" s="74" t="str">
        <f>IFERROR((E11+F11)*'Throughput Total'!$C$4,"")</f>
        <v/>
      </c>
      <c r="H11" s="74" t="str">
        <f t="shared" si="0"/>
        <v/>
      </c>
      <c r="I11" s="33" t="str">
        <f>IFERROR('Parámetros Servidores'!E11/'Parámetros Servidores'!F11,"")</f>
        <v/>
      </c>
      <c r="J11" s="74" t="str">
        <f t="shared" si="1"/>
        <v/>
      </c>
      <c r="K11" s="74" t="str">
        <f t="shared" si="2"/>
        <v/>
      </c>
      <c r="L11" s="33" t="str">
        <f>'% ocupación &amp; balance de línea'!G11</f>
        <v/>
      </c>
    </row>
    <row r="12" spans="1:14" x14ac:dyDescent="0.25">
      <c r="B12" s="15" t="str">
        <f>IF(Estaciones!B12="","",Estaciones!B12)</f>
        <v>Inactiva</v>
      </c>
      <c r="C12" s="20" t="str">
        <f>IF(Servidores!C12="","",Servidores!C12)</f>
        <v/>
      </c>
      <c r="D12" s="32" t="str">
        <f>IF(Servidores!D12="","",Servidores!D12)</f>
        <v/>
      </c>
      <c r="E12" s="74" t="str">
        <f>IF(B12="Inactiva","",'Parámetros Servidores'!E12*'Parámetros Servidores'!F12*'% ocupación &amp; balance de línea'!G12)</f>
        <v/>
      </c>
      <c r="F12" s="74" t="str">
        <f>IFERROR(E12*'Parámetros Servidores'!G12,"")</f>
        <v/>
      </c>
      <c r="G12" s="74" t="str">
        <f>IFERROR((E12+F12)*'Throughput Total'!$C$4,"")</f>
        <v/>
      </c>
      <c r="H12" s="74" t="str">
        <f t="shared" si="0"/>
        <v/>
      </c>
      <c r="I12" s="33" t="str">
        <f>IFERROR('Parámetros Servidores'!E12/'Parámetros Servidores'!F12,"")</f>
        <v/>
      </c>
      <c r="J12" s="74" t="str">
        <f t="shared" si="1"/>
        <v/>
      </c>
      <c r="K12" s="74" t="str">
        <f t="shared" si="2"/>
        <v/>
      </c>
      <c r="L12" s="33" t="str">
        <f>'% ocupación &amp; balance de línea'!G12</f>
        <v/>
      </c>
    </row>
    <row r="13" spans="1:14" x14ac:dyDescent="0.25">
      <c r="B13" s="15" t="str">
        <f>IF(Estaciones!B13="","",Estaciones!B13)</f>
        <v>Inactiva</v>
      </c>
      <c r="C13" s="20" t="str">
        <f>IF(Servidores!C13="","",Servidores!C13)</f>
        <v/>
      </c>
      <c r="D13" s="32" t="str">
        <f>IF(Servidores!D13="","",Servidores!D13)</f>
        <v/>
      </c>
      <c r="E13" s="74" t="str">
        <f>IF(B13="Inactiva","",'Parámetros Servidores'!E13*'Parámetros Servidores'!F13*'% ocupación &amp; balance de línea'!G13)</f>
        <v/>
      </c>
      <c r="F13" s="74" t="str">
        <f>IFERROR(E13*'Parámetros Servidores'!G13,"")</f>
        <v/>
      </c>
      <c r="G13" s="74" t="str">
        <f>IFERROR((E13+F13)*'Throughput Total'!$C$4,"")</f>
        <v/>
      </c>
      <c r="H13" s="74" t="str">
        <f t="shared" si="0"/>
        <v/>
      </c>
      <c r="I13" s="33" t="str">
        <f>IFERROR('Parámetros Servidores'!E13/'Parámetros Servidores'!F13,"")</f>
        <v/>
      </c>
      <c r="J13" s="74" t="str">
        <f t="shared" si="1"/>
        <v/>
      </c>
      <c r="K13" s="74" t="str">
        <f t="shared" si="2"/>
        <v/>
      </c>
      <c r="L13" s="33" t="str">
        <f>'% ocupación &amp; balance de línea'!G13</f>
        <v/>
      </c>
    </row>
    <row r="14" spans="1:14" x14ac:dyDescent="0.25">
      <c r="B14" s="15" t="str">
        <f>IF(Estaciones!B14="","",Estaciones!B14)</f>
        <v>Inactiva</v>
      </c>
      <c r="C14" s="20" t="str">
        <f>IF(Servidores!C14="","",Servidores!C14)</f>
        <v/>
      </c>
      <c r="D14" s="32" t="str">
        <f>IF(Servidores!D14="","",Servidores!D14)</f>
        <v/>
      </c>
      <c r="E14" s="74" t="str">
        <f>IF(B14="Inactiva","",'Parámetros Servidores'!E14*'Parámetros Servidores'!F14*'% ocupación &amp; balance de línea'!G14)</f>
        <v/>
      </c>
      <c r="F14" s="74" t="str">
        <f>IFERROR(E14*'Parámetros Servidores'!G14,"")</f>
        <v/>
      </c>
      <c r="G14" s="74" t="str">
        <f>IFERROR((E14+F14)*'Throughput Total'!$C$4,"")</f>
        <v/>
      </c>
      <c r="H14" s="74" t="str">
        <f t="shared" si="0"/>
        <v/>
      </c>
      <c r="I14" s="33" t="str">
        <f>IFERROR('Parámetros Servidores'!E14/'Parámetros Servidores'!F14,"")</f>
        <v/>
      </c>
      <c r="J14" s="74" t="str">
        <f t="shared" si="1"/>
        <v/>
      </c>
      <c r="K14" s="74" t="str">
        <f t="shared" si="2"/>
        <v/>
      </c>
      <c r="L14" s="33" t="str">
        <f>'% ocupación &amp; balance de línea'!G14</f>
        <v/>
      </c>
    </row>
    <row r="15" spans="1:14" x14ac:dyDescent="0.25">
      <c r="B15" s="15" t="str">
        <f>IF(Estaciones!B15="","",Estaciones!B15)</f>
        <v>Inactiva</v>
      </c>
      <c r="C15" s="20" t="str">
        <f>IF(Servidores!C15="","",Servidores!C15)</f>
        <v/>
      </c>
      <c r="D15" s="32" t="str">
        <f>IF(Servidores!D15="","",Servidores!D15)</f>
        <v/>
      </c>
      <c r="E15" s="74" t="str">
        <f>IF(B15="Inactiva","",'Parámetros Servidores'!E15*'Parámetros Servidores'!F15*'% ocupación &amp; balance de línea'!G15)</f>
        <v/>
      </c>
      <c r="F15" s="74" t="str">
        <f>IFERROR(E15*'Parámetros Servidores'!G15,"")</f>
        <v/>
      </c>
      <c r="G15" s="74" t="str">
        <f>IFERROR((E15+F15)*'Throughput Total'!$C$4,"")</f>
        <v/>
      </c>
      <c r="H15" s="74" t="str">
        <f t="shared" si="0"/>
        <v/>
      </c>
      <c r="I15" s="33" t="str">
        <f>IFERROR('Parámetros Servidores'!E15/'Parámetros Servidores'!F15,"")</f>
        <v/>
      </c>
      <c r="J15" s="74" t="str">
        <f t="shared" si="1"/>
        <v/>
      </c>
      <c r="K15" s="74" t="str">
        <f t="shared" si="2"/>
        <v/>
      </c>
      <c r="L15" s="33" t="str">
        <f>'% ocupación &amp; balance de línea'!G15</f>
        <v/>
      </c>
    </row>
    <row r="16" spans="1:14" x14ac:dyDescent="0.25">
      <c r="B16" s="15" t="str">
        <f>IF(Estaciones!B16="","",Estaciones!B16)</f>
        <v>Inactiva</v>
      </c>
      <c r="C16" s="20" t="str">
        <f>IF(Servidores!C16="","",Servidores!C16)</f>
        <v/>
      </c>
      <c r="D16" s="32" t="str">
        <f>IF(Servidores!D16="","",Servidores!D16)</f>
        <v/>
      </c>
      <c r="E16" s="74" t="str">
        <f>IF(B16="Inactiva","",'Parámetros Servidores'!E16*'Parámetros Servidores'!F16*'% ocupación &amp; balance de línea'!G16)</f>
        <v/>
      </c>
      <c r="F16" s="74" t="str">
        <f>IFERROR(E16*'Parámetros Servidores'!G16,"")</f>
        <v/>
      </c>
      <c r="G16" s="74" t="str">
        <f>IFERROR((E16+F16)*'Throughput Total'!$C$4,"")</f>
        <v/>
      </c>
      <c r="H16" s="74" t="str">
        <f t="shared" si="0"/>
        <v/>
      </c>
      <c r="I16" s="33" t="str">
        <f>IFERROR('Parámetros Servidores'!E16/'Parámetros Servidores'!F16,"")</f>
        <v/>
      </c>
      <c r="J16" s="74" t="str">
        <f t="shared" si="1"/>
        <v/>
      </c>
      <c r="K16" s="74" t="str">
        <f t="shared" si="2"/>
        <v/>
      </c>
      <c r="L16" s="33" t="str">
        <f>'% ocupación &amp; balance de línea'!G16</f>
        <v/>
      </c>
    </row>
    <row r="17" spans="2:12" x14ac:dyDescent="0.25">
      <c r="B17" s="15" t="str">
        <f>IF(Estaciones!B17="","",Estaciones!B17)</f>
        <v>Inactiva</v>
      </c>
      <c r="C17" s="20" t="str">
        <f>IF(Servidores!C17="","",Servidores!C17)</f>
        <v/>
      </c>
      <c r="D17" s="32" t="str">
        <f>IF(Servidores!D17="","",Servidores!D17)</f>
        <v/>
      </c>
      <c r="E17" s="74" t="str">
        <f>IF(B17="Inactiva","",'Parámetros Servidores'!E17*'Parámetros Servidores'!F17*'% ocupación &amp; balance de línea'!G17)</f>
        <v/>
      </c>
      <c r="F17" s="74" t="str">
        <f>IFERROR(E17*'Parámetros Servidores'!G17,"")</f>
        <v/>
      </c>
      <c r="G17" s="74" t="str">
        <f>IFERROR((E17+F17)*'Throughput Total'!$C$4,"")</f>
        <v/>
      </c>
      <c r="H17" s="74" t="str">
        <f t="shared" si="0"/>
        <v/>
      </c>
      <c r="I17" s="33" t="str">
        <f>IFERROR('Parámetros Servidores'!E17/'Parámetros Servidores'!F17,"")</f>
        <v/>
      </c>
      <c r="J17" s="74" t="str">
        <f t="shared" si="1"/>
        <v/>
      </c>
      <c r="K17" s="74" t="str">
        <f t="shared" si="2"/>
        <v/>
      </c>
      <c r="L17" s="33" t="str">
        <f>'% ocupación &amp; balance de línea'!G17</f>
        <v/>
      </c>
    </row>
    <row r="18" spans="2:12" x14ac:dyDescent="0.25">
      <c r="B18" s="15" t="str">
        <f>IF(Estaciones!B18="","",Estaciones!B18)</f>
        <v>Inactiva</v>
      </c>
      <c r="C18" s="20" t="str">
        <f>IF(Servidores!C18="","",Servidores!C18)</f>
        <v/>
      </c>
      <c r="D18" s="32" t="str">
        <f>IF(Servidores!D18="","",Servidores!D18)</f>
        <v/>
      </c>
      <c r="E18" s="74" t="str">
        <f>IF(B18="Inactiva","",'Parámetros Servidores'!E18*'Parámetros Servidores'!F18*'% ocupación &amp; balance de línea'!G18)</f>
        <v/>
      </c>
      <c r="F18" s="74" t="str">
        <f>IFERROR(E18*'Parámetros Servidores'!G18,"")</f>
        <v/>
      </c>
      <c r="G18" s="74" t="str">
        <f>IFERROR((E18+F18)*'Throughput Total'!$C$4,"")</f>
        <v/>
      </c>
      <c r="H18" s="74" t="str">
        <f t="shared" si="0"/>
        <v/>
      </c>
      <c r="I18" s="33" t="str">
        <f>IFERROR('Parámetros Servidores'!E18/'Parámetros Servidores'!F18,"")</f>
        <v/>
      </c>
      <c r="J18" s="74" t="str">
        <f t="shared" si="1"/>
        <v/>
      </c>
      <c r="K18" s="74" t="str">
        <f t="shared" si="2"/>
        <v/>
      </c>
      <c r="L18" s="33" t="str">
        <f>'% ocupación &amp; balance de línea'!G18</f>
        <v/>
      </c>
    </row>
    <row r="19" spans="2:12" x14ac:dyDescent="0.25">
      <c r="B19" s="15" t="str">
        <f>IF(Estaciones!B19="","",Estaciones!B19)</f>
        <v>Inactiva</v>
      </c>
      <c r="C19" s="20" t="str">
        <f>IF(Servidores!C19="","",Servidores!C19)</f>
        <v/>
      </c>
      <c r="D19" s="32" t="str">
        <f>IF(Servidores!D19="","",Servidores!D19)</f>
        <v/>
      </c>
      <c r="E19" s="74" t="str">
        <f>IF(B19="Inactiva","",'Parámetros Servidores'!E19*'Parámetros Servidores'!F19*'% ocupación &amp; balance de línea'!G19)</f>
        <v/>
      </c>
      <c r="F19" s="74" t="str">
        <f>IFERROR(E19*'Parámetros Servidores'!G19,"")</f>
        <v/>
      </c>
      <c r="G19" s="74" t="str">
        <f>IFERROR((E19+F19)*'Throughput Total'!$C$4,"")</f>
        <v/>
      </c>
      <c r="H19" s="74" t="str">
        <f t="shared" si="0"/>
        <v/>
      </c>
      <c r="I19" s="33" t="str">
        <f>IFERROR('Parámetros Servidores'!E19/'Parámetros Servidores'!F19,"")</f>
        <v/>
      </c>
      <c r="J19" s="74" t="str">
        <f t="shared" si="1"/>
        <v/>
      </c>
      <c r="K19" s="74" t="str">
        <f t="shared" si="2"/>
        <v/>
      </c>
      <c r="L19" s="33" t="str">
        <f>'% ocupación &amp; balance de línea'!G19</f>
        <v/>
      </c>
    </row>
    <row r="20" spans="2:12" x14ac:dyDescent="0.25">
      <c r="B20" s="15" t="str">
        <f>IF(Estaciones!B20="","",Estaciones!B20)</f>
        <v>Inactiva</v>
      </c>
      <c r="C20" s="20" t="str">
        <f>IF(Servidores!C20="","",Servidores!C20)</f>
        <v/>
      </c>
      <c r="D20" s="32" t="str">
        <f>IF(Servidores!D20="","",Servidores!D20)</f>
        <v/>
      </c>
      <c r="E20" s="74" t="str">
        <f>IF(B20="Inactiva","",'Parámetros Servidores'!E20*'Parámetros Servidores'!F20*'% ocupación &amp; balance de línea'!G20)</f>
        <v/>
      </c>
      <c r="F20" s="74" t="str">
        <f>IFERROR(E20*'Parámetros Servidores'!G20,"")</f>
        <v/>
      </c>
      <c r="G20" s="74" t="str">
        <f>IFERROR((E20+F20)*'Throughput Total'!$C$4,"")</f>
        <v/>
      </c>
      <c r="H20" s="74" t="str">
        <f t="shared" si="0"/>
        <v/>
      </c>
      <c r="I20" s="33" t="str">
        <f>IFERROR('Parámetros Servidores'!E20/'Parámetros Servidores'!F20,"")</f>
        <v/>
      </c>
      <c r="J20" s="74" t="str">
        <f t="shared" si="1"/>
        <v/>
      </c>
      <c r="K20" s="74" t="str">
        <f t="shared" si="2"/>
        <v/>
      </c>
      <c r="L20" s="33" t="str">
        <f>'% ocupación &amp; balance de línea'!G20</f>
        <v/>
      </c>
    </row>
    <row r="21" spans="2:12" x14ac:dyDescent="0.25">
      <c r="B21" s="15" t="str">
        <f>IF(Estaciones!B21="","",Estaciones!B21)</f>
        <v>Inactiva</v>
      </c>
      <c r="C21" s="20" t="str">
        <f>IF(Servidores!C21="","",Servidores!C21)</f>
        <v/>
      </c>
      <c r="D21" s="32" t="str">
        <f>IF(Servidores!D21="","",Servidores!D21)</f>
        <v/>
      </c>
      <c r="E21" s="74" t="str">
        <f>IF(B21="Inactiva","",'Parámetros Servidores'!E21*'Parámetros Servidores'!F21*'% ocupación &amp; balance de línea'!G21)</f>
        <v/>
      </c>
      <c r="F21" s="74" t="str">
        <f>IFERROR(E21*'Parámetros Servidores'!G21,"")</f>
        <v/>
      </c>
      <c r="G21" s="74" t="str">
        <f>IFERROR((E21+F21)*'Throughput Total'!$C$4,"")</f>
        <v/>
      </c>
      <c r="H21" s="74" t="str">
        <f t="shared" si="0"/>
        <v/>
      </c>
      <c r="I21" s="33" t="str">
        <f>IFERROR('Parámetros Servidores'!E21/'Parámetros Servidores'!F21,"")</f>
        <v/>
      </c>
      <c r="J21" s="74" t="str">
        <f t="shared" si="1"/>
        <v/>
      </c>
      <c r="K21" s="74" t="str">
        <f t="shared" si="2"/>
        <v/>
      </c>
      <c r="L21" s="33" t="str">
        <f>'% ocupación &amp; balance de línea'!G21</f>
        <v/>
      </c>
    </row>
    <row r="22" spans="2:12" x14ac:dyDescent="0.25">
      <c r="B22" s="15" t="str">
        <f>IF(Estaciones!B22="","",Estaciones!B22)</f>
        <v>Inactiva</v>
      </c>
      <c r="C22" s="20" t="str">
        <f>IF(Servidores!C22="","",Servidores!C22)</f>
        <v/>
      </c>
      <c r="D22" s="32" t="str">
        <f>IF(Servidores!D22="","",Servidores!D22)</f>
        <v/>
      </c>
      <c r="E22" s="74" t="str">
        <f>IF(B22="Inactiva","",'Parámetros Servidores'!E22*'Parámetros Servidores'!F22*'% ocupación &amp; balance de línea'!G22)</f>
        <v/>
      </c>
      <c r="F22" s="74" t="str">
        <f>IFERROR(E22*'Parámetros Servidores'!G22,"")</f>
        <v/>
      </c>
      <c r="G22" s="74" t="str">
        <f>IFERROR((E22+F22)*'Throughput Total'!$C$4,"")</f>
        <v/>
      </c>
      <c r="H22" s="74" t="str">
        <f t="shared" si="0"/>
        <v/>
      </c>
      <c r="I22" s="33" t="str">
        <f>IFERROR('Parámetros Servidores'!E22/'Parámetros Servidores'!F22,"")</f>
        <v/>
      </c>
      <c r="J22" s="74" t="str">
        <f t="shared" si="1"/>
        <v/>
      </c>
      <c r="K22" s="74" t="str">
        <f t="shared" si="2"/>
        <v/>
      </c>
      <c r="L22" s="33" t="str">
        <f>'% ocupación &amp; balance de línea'!G22</f>
        <v/>
      </c>
    </row>
  </sheetData>
  <mergeCells count="2">
    <mergeCell ref="A1:D1"/>
    <mergeCell ref="E1:F1"/>
  </mergeCells>
  <conditionalFormatting sqref="B3:B22">
    <cfRule type="cellIs" dxfId="20" priority="2" operator="equal">
      <formula>"Activa"</formula>
    </cfRule>
  </conditionalFormatting>
  <conditionalFormatting sqref="D4 D6:D22">
    <cfRule type="cellIs" dxfId="19" priority="1" operator="equal">
      <formula>"Activa"</formula>
    </cfRule>
  </conditionalFormatting>
  <dataValidations count="1">
    <dataValidation type="list" allowBlank="1" showInputMessage="1" showErrorMessage="1" sqref="B3:B22">
      <formula1>Activacion</formula1>
    </dataValidation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0070C0"/>
  </sheetPr>
  <dimension ref="A1:V30"/>
  <sheetViews>
    <sheetView showGridLines="0" workbookViewId="0">
      <selection activeCell="A2" sqref="A2:D8"/>
    </sheetView>
  </sheetViews>
  <sheetFormatPr baseColWidth="10" defaultRowHeight="15" x14ac:dyDescent="0.25"/>
  <cols>
    <col min="1" max="1" width="2.140625" customWidth="1"/>
    <col min="2" max="3" width="20.28515625" customWidth="1"/>
    <col min="4" max="4" width="20.5703125" customWidth="1"/>
    <col min="5" max="22" width="20.28515625" customWidth="1"/>
  </cols>
  <sheetData>
    <row r="1" spans="1:22" s="12" customFormat="1" ht="3.75" customHeight="1" x14ac:dyDescent="0.2">
      <c r="A1" s="155"/>
      <c r="B1" s="155"/>
      <c r="C1" s="155"/>
      <c r="D1" s="155"/>
      <c r="E1" s="155"/>
      <c r="F1" s="155"/>
      <c r="G1" s="10"/>
      <c r="H1" s="11"/>
      <c r="I1" s="10"/>
      <c r="J1" s="11"/>
    </row>
    <row r="2" spans="1:22" s="12" customFormat="1" ht="12.75" customHeight="1" x14ac:dyDescent="0.2">
      <c r="A2" s="155"/>
      <c r="B2" s="155"/>
      <c r="C2" s="155"/>
      <c r="D2" s="155"/>
      <c r="E2" s="30"/>
      <c r="F2" s="53" t="s">
        <v>108</v>
      </c>
      <c r="G2" s="54" t="s">
        <v>100</v>
      </c>
      <c r="H2" s="54" t="s">
        <v>101</v>
      </c>
      <c r="J2" s="52" t="s">
        <v>155</v>
      </c>
    </row>
    <row r="3" spans="1:22" s="12" customFormat="1" ht="11.25" customHeight="1" x14ac:dyDescent="0.2">
      <c r="A3" s="155"/>
      <c r="B3" s="155"/>
      <c r="C3" s="155"/>
      <c r="D3" s="155"/>
      <c r="E3" s="30"/>
      <c r="F3" s="50" t="s">
        <v>102</v>
      </c>
      <c r="G3" s="83">
        <v>0</v>
      </c>
      <c r="H3" s="83">
        <v>0</v>
      </c>
      <c r="J3" s="89">
        <f>MAX(C11:V30)</f>
        <v>53</v>
      </c>
    </row>
    <row r="4" spans="1:22" s="12" customFormat="1" ht="11.25" customHeight="1" x14ac:dyDescent="0.2">
      <c r="A4" s="155"/>
      <c r="B4" s="155"/>
      <c r="C4" s="155"/>
      <c r="D4" s="155"/>
      <c r="E4" s="30"/>
      <c r="F4" s="50" t="s">
        <v>104</v>
      </c>
      <c r="G4" s="84">
        <f>IF(J3=0,0,0.01)</f>
        <v>0.01</v>
      </c>
      <c r="H4" s="84">
        <f>0.2*$J$3</f>
        <v>10.600000000000001</v>
      </c>
      <c r="I4" s="10"/>
      <c r="J4" s="11"/>
    </row>
    <row r="5" spans="1:22" s="12" customFormat="1" ht="11.25" customHeight="1" x14ac:dyDescent="0.2">
      <c r="A5" s="155"/>
      <c r="B5" s="155"/>
      <c r="C5" s="155"/>
      <c r="D5" s="155"/>
      <c r="E5" s="30"/>
      <c r="F5" s="50" t="s">
        <v>103</v>
      </c>
      <c r="G5" s="85">
        <f>IF(J3=0,0,J3*0.2+0.01)</f>
        <v>10.610000000000001</v>
      </c>
      <c r="H5" s="85">
        <f>0.4*$J$3</f>
        <v>21.200000000000003</v>
      </c>
      <c r="I5" s="10"/>
      <c r="J5" s="52" t="s">
        <v>112</v>
      </c>
    </row>
    <row r="6" spans="1:22" s="12" customFormat="1" ht="11.25" customHeight="1" x14ac:dyDescent="0.2">
      <c r="A6" s="155"/>
      <c r="B6" s="155"/>
      <c r="C6" s="155"/>
      <c r="D6" s="155"/>
      <c r="E6" s="30"/>
      <c r="F6" s="50" t="s">
        <v>105</v>
      </c>
      <c r="G6" s="86">
        <f>IF(J3=0,0,J3*0.4+0.01)</f>
        <v>21.210000000000004</v>
      </c>
      <c r="H6" s="86">
        <f>0.6*$J$3</f>
        <v>31.799999999999997</v>
      </c>
      <c r="I6" s="10"/>
      <c r="J6" s="64">
        <v>5</v>
      </c>
    </row>
    <row r="7" spans="1:22" s="12" customFormat="1" ht="11.25" customHeight="1" x14ac:dyDescent="0.2">
      <c r="A7" s="155"/>
      <c r="B7" s="155"/>
      <c r="C7" s="155"/>
      <c r="D7" s="155"/>
      <c r="E7" s="30"/>
      <c r="F7" s="50" t="s">
        <v>106</v>
      </c>
      <c r="G7" s="87">
        <f>IF(J3=0,0,J3*0.6+0.01)</f>
        <v>31.81</v>
      </c>
      <c r="H7" s="87">
        <f>0.8*$J$3</f>
        <v>42.400000000000006</v>
      </c>
      <c r="I7" s="10"/>
      <c r="J7" s="11"/>
    </row>
    <row r="8" spans="1:22" s="12" customFormat="1" ht="11.25" customHeight="1" x14ac:dyDescent="0.2">
      <c r="A8" s="155"/>
      <c r="B8" s="155"/>
      <c r="C8" s="155"/>
      <c r="D8" s="155"/>
      <c r="E8" s="30"/>
      <c r="F8" s="50" t="s">
        <v>107</v>
      </c>
      <c r="G8" s="88">
        <f>IF(J3=0,0,J3*0.8+0.01)</f>
        <v>42.410000000000004</v>
      </c>
      <c r="H8" s="88">
        <f>1*$J$3</f>
        <v>53</v>
      </c>
      <c r="I8" s="10"/>
      <c r="J8" s="11"/>
    </row>
    <row r="9" spans="1:22" s="12" customFormat="1" ht="3.75" customHeight="1" x14ac:dyDescent="0.2">
      <c r="A9" s="30"/>
      <c r="B9" s="30"/>
      <c r="C9" s="30"/>
      <c r="D9" s="30"/>
      <c r="E9" s="30"/>
      <c r="F9" s="30"/>
      <c r="G9" s="10"/>
      <c r="H9" s="11"/>
      <c r="I9" s="10"/>
      <c r="J9" s="11"/>
    </row>
    <row r="10" spans="1:22" x14ac:dyDescent="0.25">
      <c r="B10" s="13" t="s">
        <v>111</v>
      </c>
      <c r="C10" s="49" t="str">
        <f ca="1">OFFSET($B$10,COLUMN(C10)-2,0)</f>
        <v>Estación torneado</v>
      </c>
      <c r="D10" s="49" t="str">
        <f t="shared" ref="D10:V10" ca="1" si="0">OFFSET($B$10,COLUMN(D10)-2,0)</f>
        <v>Estación pulido</v>
      </c>
      <c r="E10" s="49" t="str">
        <f t="shared" ca="1" si="0"/>
        <v>Estación fresado</v>
      </c>
      <c r="F10" s="49" t="str">
        <f t="shared" ca="1" si="0"/>
        <v>Estación limado</v>
      </c>
      <c r="G10" s="49" t="str">
        <f t="shared" ca="1" si="0"/>
        <v>Estación empaque</v>
      </c>
      <c r="H10" s="49" t="str">
        <f t="shared" ca="1" si="0"/>
        <v>Bodega materia prima</v>
      </c>
      <c r="I10" s="49" t="str">
        <f t="shared" ca="1" si="0"/>
        <v>Bodega producto terminado</v>
      </c>
      <c r="J10" s="49" t="str">
        <f t="shared" ca="1" si="0"/>
        <v>Estación inspección</v>
      </c>
      <c r="K10" s="49" t="str">
        <f t="shared" ca="1" si="0"/>
        <v>Estación reproceso</v>
      </c>
      <c r="L10" s="49" t="str">
        <f t="shared" ca="1" si="0"/>
        <v/>
      </c>
      <c r="M10" s="49" t="str">
        <f t="shared" ca="1" si="0"/>
        <v/>
      </c>
      <c r="N10" s="49" t="str">
        <f t="shared" ca="1" si="0"/>
        <v/>
      </c>
      <c r="O10" s="49" t="str">
        <f t="shared" ca="1" si="0"/>
        <v/>
      </c>
      <c r="P10" s="49" t="str">
        <f t="shared" ca="1" si="0"/>
        <v/>
      </c>
      <c r="Q10" s="49" t="str">
        <f t="shared" ca="1" si="0"/>
        <v/>
      </c>
      <c r="R10" s="49" t="str">
        <f t="shared" ca="1" si="0"/>
        <v/>
      </c>
      <c r="S10" s="49" t="str">
        <f t="shared" ca="1" si="0"/>
        <v/>
      </c>
      <c r="T10" s="49" t="str">
        <f t="shared" ca="1" si="0"/>
        <v/>
      </c>
      <c r="U10" s="49" t="str">
        <f t="shared" ca="1" si="0"/>
        <v/>
      </c>
      <c r="V10" s="49" t="str">
        <f t="shared" ca="1" si="0"/>
        <v/>
      </c>
    </row>
    <row r="11" spans="1:22" x14ac:dyDescent="0.25">
      <c r="B11" s="48" t="str">
        <f>IF(Servidores!C3="","",Servidores!C3)</f>
        <v>Estación torneado</v>
      </c>
      <c r="C11" s="69" t="str">
        <f>IF('Flujo de producto'!C11*'Throughput Total'!$C$2=0,"",'Flujo de producto'!C11*'Throughput Total'!$C$2)</f>
        <v/>
      </c>
      <c r="D11" s="69">
        <f>IF('Flujo de producto'!D11*'Throughput Total'!$C$2=0,"",'Flujo de producto'!D11*'Throughput Total'!$C$2)</f>
        <v>13.25</v>
      </c>
      <c r="E11" s="69">
        <f>IF('Flujo de producto'!E11*'Throughput Total'!$C$2=0,"",'Flujo de producto'!E11*'Throughput Total'!$C$2)</f>
        <v>39.75</v>
      </c>
      <c r="F11" s="69" t="str">
        <f>IF('Flujo de producto'!F11*'Throughput Total'!$C$2=0,"",'Flujo de producto'!F11*'Throughput Total'!$C$2)</f>
        <v/>
      </c>
      <c r="G11" s="69" t="str">
        <f>IF('Flujo de producto'!G11*'Throughput Total'!$C$2=0,"",'Flujo de producto'!G11*'Throughput Total'!$C$2)</f>
        <v/>
      </c>
      <c r="H11" s="69" t="str">
        <f>IF('Flujo de producto'!H11*'Throughput Total'!$C$2=0,"",'Flujo de producto'!H11*'Throughput Total'!$C$2)</f>
        <v/>
      </c>
      <c r="I11" s="69" t="str">
        <f>IF('Flujo de producto'!I11*'Throughput Total'!$C$2=0,"",'Flujo de producto'!I11*'Throughput Total'!$C$2)</f>
        <v/>
      </c>
      <c r="J11" s="69" t="str">
        <f>IF('Flujo de producto'!J11*'Throughput Total'!$C$2=0,"",'Flujo de producto'!J11*'Throughput Total'!$C$2)</f>
        <v/>
      </c>
      <c r="K11" s="69" t="str">
        <f>IF('Flujo de producto'!K11*'Throughput Total'!$C$2=0,"",'Flujo de producto'!K11*'Throughput Total'!$C$2)</f>
        <v/>
      </c>
      <c r="L11" s="69" t="str">
        <f>IF('Flujo de producto'!L11*'Throughput Total'!$C$2=0,"",'Flujo de producto'!L11*'Throughput Total'!$C$2)</f>
        <v/>
      </c>
      <c r="M11" s="69" t="str">
        <f>IF('Flujo de producto'!M11*'Throughput Total'!$C$2=0,"",'Flujo de producto'!M11*'Throughput Total'!$C$2)</f>
        <v/>
      </c>
      <c r="N11" s="69" t="str">
        <f>IF('Flujo de producto'!N11*'Throughput Total'!$C$2=0,"",'Flujo de producto'!N11*'Throughput Total'!$C$2)</f>
        <v/>
      </c>
      <c r="O11" s="69" t="str">
        <f>IF('Flujo de producto'!O11*'Throughput Total'!$C$2=0,"",'Flujo de producto'!O11*'Throughput Total'!$C$2)</f>
        <v/>
      </c>
      <c r="P11" s="69" t="str">
        <f>IF('Flujo de producto'!P11*'Throughput Total'!$C$2=0,"",'Flujo de producto'!P11*'Throughput Total'!$C$2)</f>
        <v/>
      </c>
      <c r="Q11" s="69" t="str">
        <f>IF('Flujo de producto'!Q11*'Throughput Total'!$C$2=0,"",'Flujo de producto'!Q11*'Throughput Total'!$C$2)</f>
        <v/>
      </c>
      <c r="R11" s="69" t="str">
        <f>IF('Flujo de producto'!R11*'Throughput Total'!$C$2=0,"",'Flujo de producto'!R11*'Throughput Total'!$C$2)</f>
        <v/>
      </c>
      <c r="S11" s="69" t="str">
        <f>IF('Flujo de producto'!S11*'Throughput Total'!$C$2=0,"",'Flujo de producto'!S11*'Throughput Total'!$C$2)</f>
        <v/>
      </c>
      <c r="T11" s="69" t="str">
        <f>IF('Flujo de producto'!T11*'Throughput Total'!$C$2=0,"",'Flujo de producto'!T11*'Throughput Total'!$C$2)</f>
        <v/>
      </c>
      <c r="U11" s="69" t="str">
        <f>IF('Flujo de producto'!U11*'Throughput Total'!$C$2=0,"",'Flujo de producto'!U11*'Throughput Total'!$C$2)</f>
        <v/>
      </c>
      <c r="V11" s="69" t="str">
        <f>IF('Flujo de producto'!V11*'Throughput Total'!$C$2=0,"",'Flujo de producto'!V11*'Throughput Total'!$C$2)</f>
        <v/>
      </c>
    </row>
    <row r="12" spans="1:22" x14ac:dyDescent="0.25">
      <c r="B12" s="48" t="str">
        <f>IF(Servidores!C4="","",Servidores!C4)</f>
        <v>Estación pulido</v>
      </c>
      <c r="C12" s="69" t="str">
        <f>IF('Flujo de producto'!C12*'Throughput Total'!$C$2=0,"",'Flujo de producto'!C12*'Throughput Total'!$C$2)</f>
        <v/>
      </c>
      <c r="D12" s="69" t="str">
        <f>IF('Flujo de producto'!D12*'Throughput Total'!$C$2=0,"",'Flujo de producto'!D12*'Throughput Total'!$C$2)</f>
        <v/>
      </c>
      <c r="E12" s="69" t="str">
        <f>IF('Flujo de producto'!E12*'Throughput Total'!$C$2=0,"",'Flujo de producto'!E12*'Throughput Total'!$C$2)</f>
        <v/>
      </c>
      <c r="F12" s="69">
        <f>IF('Flujo de producto'!F12*'Throughput Total'!$C$2=0,"",'Flujo de producto'!F12*'Throughput Total'!$C$2)</f>
        <v>13.25</v>
      </c>
      <c r="G12" s="69" t="str">
        <f>IF('Flujo de producto'!G12*'Throughput Total'!$C$2=0,"",'Flujo de producto'!G12*'Throughput Total'!$C$2)</f>
        <v/>
      </c>
      <c r="H12" s="69" t="str">
        <f>IF('Flujo de producto'!H12*'Throughput Total'!$C$2=0,"",'Flujo de producto'!H12*'Throughput Total'!$C$2)</f>
        <v/>
      </c>
      <c r="I12" s="69" t="str">
        <f>IF('Flujo de producto'!I12*'Throughput Total'!$C$2=0,"",'Flujo de producto'!I12*'Throughput Total'!$C$2)</f>
        <v/>
      </c>
      <c r="J12" s="69" t="str">
        <f>IF('Flujo de producto'!J12*'Throughput Total'!$C$2=0,"",'Flujo de producto'!J12*'Throughput Total'!$C$2)</f>
        <v/>
      </c>
      <c r="K12" s="69" t="str">
        <f>IF('Flujo de producto'!K12*'Throughput Total'!$C$2=0,"",'Flujo de producto'!K12*'Throughput Total'!$C$2)</f>
        <v/>
      </c>
      <c r="L12" s="69" t="str">
        <f>IF('Flujo de producto'!L12*'Throughput Total'!$C$2=0,"",'Flujo de producto'!L12*'Throughput Total'!$C$2)</f>
        <v/>
      </c>
      <c r="M12" s="69" t="str">
        <f>IF('Flujo de producto'!M12*'Throughput Total'!$C$2=0,"",'Flujo de producto'!M12*'Throughput Total'!$C$2)</f>
        <v/>
      </c>
      <c r="N12" s="69" t="str">
        <f>IF('Flujo de producto'!N12*'Throughput Total'!$C$2=0,"",'Flujo de producto'!N12*'Throughput Total'!$C$2)</f>
        <v/>
      </c>
      <c r="O12" s="69" t="str">
        <f>IF('Flujo de producto'!O12*'Throughput Total'!$C$2=0,"",'Flujo de producto'!O12*'Throughput Total'!$C$2)</f>
        <v/>
      </c>
      <c r="P12" s="69" t="str">
        <f>IF('Flujo de producto'!P12*'Throughput Total'!$C$2=0,"",'Flujo de producto'!P12*'Throughput Total'!$C$2)</f>
        <v/>
      </c>
      <c r="Q12" s="69" t="str">
        <f>IF('Flujo de producto'!Q12*'Throughput Total'!$C$2=0,"",'Flujo de producto'!Q12*'Throughput Total'!$C$2)</f>
        <v/>
      </c>
      <c r="R12" s="69" t="str">
        <f>IF('Flujo de producto'!R12*'Throughput Total'!$C$2=0,"",'Flujo de producto'!R12*'Throughput Total'!$C$2)</f>
        <v/>
      </c>
      <c r="S12" s="69" t="str">
        <f>IF('Flujo de producto'!S12*'Throughput Total'!$C$2=0,"",'Flujo de producto'!S12*'Throughput Total'!$C$2)</f>
        <v/>
      </c>
      <c r="T12" s="69" t="str">
        <f>IF('Flujo de producto'!T12*'Throughput Total'!$C$2=0,"",'Flujo de producto'!T12*'Throughput Total'!$C$2)</f>
        <v/>
      </c>
      <c r="U12" s="69" t="str">
        <f>IF('Flujo de producto'!U12*'Throughput Total'!$C$2=0,"",'Flujo de producto'!U12*'Throughput Total'!$C$2)</f>
        <v/>
      </c>
      <c r="V12" s="69" t="str">
        <f>IF('Flujo de producto'!V12*'Throughput Total'!$C$2=0,"",'Flujo de producto'!V12*'Throughput Total'!$C$2)</f>
        <v/>
      </c>
    </row>
    <row r="13" spans="1:22" x14ac:dyDescent="0.25">
      <c r="B13" s="48" t="str">
        <f>IF(Servidores!C5="","",Servidores!C5)</f>
        <v>Estación fresado</v>
      </c>
      <c r="C13" s="69" t="str">
        <f>IF('Flujo de producto'!C13*'Throughput Total'!$C$2=0,"",'Flujo de producto'!C13*'Throughput Total'!$C$2)</f>
        <v/>
      </c>
      <c r="D13" s="69" t="str">
        <f>IF('Flujo de producto'!D13*'Throughput Total'!$C$2=0,"",'Flujo de producto'!D13*'Throughput Total'!$C$2)</f>
        <v/>
      </c>
      <c r="E13" s="69" t="str">
        <f>IF('Flujo de producto'!E13*'Throughput Total'!$C$2=0,"",'Flujo de producto'!E13*'Throughput Total'!$C$2)</f>
        <v/>
      </c>
      <c r="F13" s="69">
        <f>IF('Flujo de producto'!F13*'Throughput Total'!$C$2=0,"",'Flujo de producto'!F13*'Throughput Total'!$C$2)</f>
        <v>39.75</v>
      </c>
      <c r="G13" s="69" t="str">
        <f>IF('Flujo de producto'!G13*'Throughput Total'!$C$2=0,"",'Flujo de producto'!G13*'Throughput Total'!$C$2)</f>
        <v/>
      </c>
      <c r="H13" s="69" t="str">
        <f>IF('Flujo de producto'!H13*'Throughput Total'!$C$2=0,"",'Flujo de producto'!H13*'Throughput Total'!$C$2)</f>
        <v/>
      </c>
      <c r="I13" s="69" t="str">
        <f>IF('Flujo de producto'!I13*'Throughput Total'!$C$2=0,"",'Flujo de producto'!I13*'Throughput Total'!$C$2)</f>
        <v/>
      </c>
      <c r="J13" s="69" t="str">
        <f>IF('Flujo de producto'!J13*'Throughput Total'!$C$2=0,"",'Flujo de producto'!J13*'Throughput Total'!$C$2)</f>
        <v/>
      </c>
      <c r="K13" s="69" t="str">
        <f>IF('Flujo de producto'!K13*'Throughput Total'!$C$2=0,"",'Flujo de producto'!K13*'Throughput Total'!$C$2)</f>
        <v/>
      </c>
      <c r="L13" s="69" t="str">
        <f>IF('Flujo de producto'!L13*'Throughput Total'!$C$2=0,"",'Flujo de producto'!L13*'Throughput Total'!$C$2)</f>
        <v/>
      </c>
      <c r="M13" s="69" t="str">
        <f>IF('Flujo de producto'!M13*'Throughput Total'!$C$2=0,"",'Flujo de producto'!M13*'Throughput Total'!$C$2)</f>
        <v/>
      </c>
      <c r="N13" s="69" t="str">
        <f>IF('Flujo de producto'!N13*'Throughput Total'!$C$2=0,"",'Flujo de producto'!N13*'Throughput Total'!$C$2)</f>
        <v/>
      </c>
      <c r="O13" s="69" t="str">
        <f>IF('Flujo de producto'!O13*'Throughput Total'!$C$2=0,"",'Flujo de producto'!O13*'Throughput Total'!$C$2)</f>
        <v/>
      </c>
      <c r="P13" s="69" t="str">
        <f>IF('Flujo de producto'!P13*'Throughput Total'!$C$2=0,"",'Flujo de producto'!P13*'Throughput Total'!$C$2)</f>
        <v/>
      </c>
      <c r="Q13" s="69" t="str">
        <f>IF('Flujo de producto'!Q13*'Throughput Total'!$C$2=0,"",'Flujo de producto'!Q13*'Throughput Total'!$C$2)</f>
        <v/>
      </c>
      <c r="R13" s="69" t="str">
        <f>IF('Flujo de producto'!R13*'Throughput Total'!$C$2=0,"",'Flujo de producto'!R13*'Throughput Total'!$C$2)</f>
        <v/>
      </c>
      <c r="S13" s="69" t="str">
        <f>IF('Flujo de producto'!S13*'Throughput Total'!$C$2=0,"",'Flujo de producto'!S13*'Throughput Total'!$C$2)</f>
        <v/>
      </c>
      <c r="T13" s="69" t="str">
        <f>IF('Flujo de producto'!T13*'Throughput Total'!$C$2=0,"",'Flujo de producto'!T13*'Throughput Total'!$C$2)</f>
        <v/>
      </c>
      <c r="U13" s="69" t="str">
        <f>IF('Flujo de producto'!U13*'Throughput Total'!$C$2=0,"",'Flujo de producto'!U13*'Throughput Total'!$C$2)</f>
        <v/>
      </c>
      <c r="V13" s="69" t="str">
        <f>IF('Flujo de producto'!V13*'Throughput Total'!$C$2=0,"",'Flujo de producto'!V13*'Throughput Total'!$C$2)</f>
        <v/>
      </c>
    </row>
    <row r="14" spans="1:22" x14ac:dyDescent="0.25">
      <c r="B14" s="48" t="str">
        <f>IF(Servidores!C6="","",Servidores!C6)</f>
        <v>Estación limado</v>
      </c>
      <c r="C14" s="69" t="str">
        <f>IF('Flujo de producto'!C14*'Throughput Total'!$C$2=0,"",'Flujo de producto'!C14*'Throughput Total'!$C$2)</f>
        <v/>
      </c>
      <c r="D14" s="69" t="str">
        <f>IF('Flujo de producto'!D14*'Throughput Total'!$C$2=0,"",'Flujo de producto'!D14*'Throughput Total'!$C$2)</f>
        <v/>
      </c>
      <c r="E14" s="69" t="str">
        <f>IF('Flujo de producto'!E14*'Throughput Total'!$C$2=0,"",'Flujo de producto'!E14*'Throughput Total'!$C$2)</f>
        <v/>
      </c>
      <c r="F14" s="69" t="str">
        <f>IF('Flujo de producto'!F14*'Throughput Total'!$C$2=0,"",'Flujo de producto'!F14*'Throughput Total'!$C$2)</f>
        <v/>
      </c>
      <c r="G14" s="69" t="str">
        <f>IF('Flujo de producto'!G14*'Throughput Total'!$C$2=0,"",'Flujo de producto'!G14*'Throughput Total'!$C$2)</f>
        <v/>
      </c>
      <c r="H14" s="69" t="str">
        <f>IF('Flujo de producto'!H14*'Throughput Total'!$C$2=0,"",'Flujo de producto'!H14*'Throughput Total'!$C$2)</f>
        <v/>
      </c>
      <c r="I14" s="69" t="str">
        <f>IF('Flujo de producto'!I14*'Throughput Total'!$C$2=0,"",'Flujo de producto'!I14*'Throughput Total'!$C$2)</f>
        <v/>
      </c>
      <c r="J14" s="69">
        <f>IF('Flujo de producto'!J14*'Throughput Total'!$C$2=0,"",'Flujo de producto'!J14*'Throughput Total'!$C$2)</f>
        <v>53</v>
      </c>
      <c r="K14" s="69" t="str">
        <f>IF('Flujo de producto'!K14*'Throughput Total'!$C$2=0,"",'Flujo de producto'!K14*'Throughput Total'!$C$2)</f>
        <v/>
      </c>
      <c r="L14" s="69" t="str">
        <f>IF('Flujo de producto'!L14*'Throughput Total'!$C$2=0,"",'Flujo de producto'!L14*'Throughput Total'!$C$2)</f>
        <v/>
      </c>
      <c r="M14" s="69" t="str">
        <f>IF('Flujo de producto'!M14*'Throughput Total'!$C$2=0,"",'Flujo de producto'!M14*'Throughput Total'!$C$2)</f>
        <v/>
      </c>
      <c r="N14" s="69" t="str">
        <f>IF('Flujo de producto'!N14*'Throughput Total'!$C$2=0,"",'Flujo de producto'!N14*'Throughput Total'!$C$2)</f>
        <v/>
      </c>
      <c r="O14" s="69" t="str">
        <f>IF('Flujo de producto'!O14*'Throughput Total'!$C$2=0,"",'Flujo de producto'!O14*'Throughput Total'!$C$2)</f>
        <v/>
      </c>
      <c r="P14" s="69" t="str">
        <f>IF('Flujo de producto'!P14*'Throughput Total'!$C$2=0,"",'Flujo de producto'!P14*'Throughput Total'!$C$2)</f>
        <v/>
      </c>
      <c r="Q14" s="69" t="str">
        <f>IF('Flujo de producto'!Q14*'Throughput Total'!$C$2=0,"",'Flujo de producto'!Q14*'Throughput Total'!$C$2)</f>
        <v/>
      </c>
      <c r="R14" s="69" t="str">
        <f>IF('Flujo de producto'!R14*'Throughput Total'!$C$2=0,"",'Flujo de producto'!R14*'Throughput Total'!$C$2)</f>
        <v/>
      </c>
      <c r="S14" s="69" t="str">
        <f>IF('Flujo de producto'!S14*'Throughput Total'!$C$2=0,"",'Flujo de producto'!S14*'Throughput Total'!$C$2)</f>
        <v/>
      </c>
      <c r="T14" s="69" t="str">
        <f>IF('Flujo de producto'!T14*'Throughput Total'!$C$2=0,"",'Flujo de producto'!T14*'Throughput Total'!$C$2)</f>
        <v/>
      </c>
      <c r="U14" s="69" t="str">
        <f>IF('Flujo de producto'!U14*'Throughput Total'!$C$2=0,"",'Flujo de producto'!U14*'Throughput Total'!$C$2)</f>
        <v/>
      </c>
      <c r="V14" s="69" t="str">
        <f>IF('Flujo de producto'!V14*'Throughput Total'!$C$2=0,"",'Flujo de producto'!V14*'Throughput Total'!$C$2)</f>
        <v/>
      </c>
    </row>
    <row r="15" spans="1:22" x14ac:dyDescent="0.25">
      <c r="B15" s="48" t="str">
        <f>IF(Servidores!C7="","",Servidores!C7)</f>
        <v>Estación empaque</v>
      </c>
      <c r="C15" s="69" t="str">
        <f>IF('Flujo de producto'!C15*'Throughput Total'!$C$2=0,"",'Flujo de producto'!C15*'Throughput Total'!$C$2)</f>
        <v/>
      </c>
      <c r="D15" s="69" t="str">
        <f>IF('Flujo de producto'!D15*'Throughput Total'!$C$2=0,"",'Flujo de producto'!D15*'Throughput Total'!$C$2)</f>
        <v/>
      </c>
      <c r="E15" s="69" t="str">
        <f>IF('Flujo de producto'!E15*'Throughput Total'!$C$2=0,"",'Flujo de producto'!E15*'Throughput Total'!$C$2)</f>
        <v/>
      </c>
      <c r="F15" s="69" t="str">
        <f>IF('Flujo de producto'!F15*'Throughput Total'!$C$2=0,"",'Flujo de producto'!F15*'Throughput Total'!$C$2)</f>
        <v/>
      </c>
      <c r="G15" s="69" t="str">
        <f>IF('Flujo de producto'!G15*'Throughput Total'!$C$2=0,"",'Flujo de producto'!G15*'Throughput Total'!$C$2)</f>
        <v/>
      </c>
      <c r="H15" s="69" t="str">
        <f>IF('Flujo de producto'!H15*'Throughput Total'!$C$2=0,"",'Flujo de producto'!H15*'Throughput Total'!$C$2)</f>
        <v/>
      </c>
      <c r="I15" s="69">
        <f>IF('Flujo de producto'!I15*'Throughput Total'!$C$2=0,"",'Flujo de producto'!I15*'Throughput Total'!$C$2)</f>
        <v>47.7</v>
      </c>
      <c r="J15" s="69" t="str">
        <f>IF('Flujo de producto'!J15*'Throughput Total'!$C$2=0,"",'Flujo de producto'!J15*'Throughput Total'!$C$2)</f>
        <v/>
      </c>
      <c r="K15" s="69" t="str">
        <f>IF('Flujo de producto'!K15*'Throughput Total'!$C$2=0,"",'Flujo de producto'!K15*'Throughput Total'!$C$2)</f>
        <v/>
      </c>
      <c r="L15" s="69" t="str">
        <f>IF('Flujo de producto'!L15*'Throughput Total'!$C$2=0,"",'Flujo de producto'!L15*'Throughput Total'!$C$2)</f>
        <v/>
      </c>
      <c r="M15" s="69" t="str">
        <f>IF('Flujo de producto'!M15*'Throughput Total'!$C$2=0,"",'Flujo de producto'!M15*'Throughput Total'!$C$2)</f>
        <v/>
      </c>
      <c r="N15" s="69" t="str">
        <f>IF('Flujo de producto'!N15*'Throughput Total'!$C$2=0,"",'Flujo de producto'!N15*'Throughput Total'!$C$2)</f>
        <v/>
      </c>
      <c r="O15" s="69" t="str">
        <f>IF('Flujo de producto'!O15*'Throughput Total'!$C$2=0,"",'Flujo de producto'!O15*'Throughput Total'!$C$2)</f>
        <v/>
      </c>
      <c r="P15" s="69" t="str">
        <f>IF('Flujo de producto'!P15*'Throughput Total'!$C$2=0,"",'Flujo de producto'!P15*'Throughput Total'!$C$2)</f>
        <v/>
      </c>
      <c r="Q15" s="69" t="str">
        <f>IF('Flujo de producto'!Q15*'Throughput Total'!$C$2=0,"",'Flujo de producto'!Q15*'Throughput Total'!$C$2)</f>
        <v/>
      </c>
      <c r="R15" s="69" t="str">
        <f>IF('Flujo de producto'!R15*'Throughput Total'!$C$2=0,"",'Flujo de producto'!R15*'Throughput Total'!$C$2)</f>
        <v/>
      </c>
      <c r="S15" s="69" t="str">
        <f>IF('Flujo de producto'!S15*'Throughput Total'!$C$2=0,"",'Flujo de producto'!S15*'Throughput Total'!$C$2)</f>
        <v/>
      </c>
      <c r="T15" s="69" t="str">
        <f>IF('Flujo de producto'!T15*'Throughput Total'!$C$2=0,"",'Flujo de producto'!T15*'Throughput Total'!$C$2)</f>
        <v/>
      </c>
      <c r="U15" s="69" t="str">
        <f>IF('Flujo de producto'!U15*'Throughput Total'!$C$2=0,"",'Flujo de producto'!U15*'Throughput Total'!$C$2)</f>
        <v/>
      </c>
      <c r="V15" s="69" t="str">
        <f>IF('Flujo de producto'!V15*'Throughput Total'!$C$2=0,"",'Flujo de producto'!V15*'Throughput Total'!$C$2)</f>
        <v/>
      </c>
    </row>
    <row r="16" spans="1:22" x14ac:dyDescent="0.25">
      <c r="B16" s="48" t="str">
        <f>IF(Servidores!C8="","",Servidores!C8)</f>
        <v>Bodega materia prima</v>
      </c>
      <c r="C16" s="69">
        <f>IF('Flujo de producto'!C16*'Throughput Total'!$C$2=0,"",'Flujo de producto'!C16*'Throughput Total'!$C$2)</f>
        <v>53</v>
      </c>
      <c r="D16" s="69" t="str">
        <f>IF('Flujo de producto'!D16*'Throughput Total'!$C$2=0,"",'Flujo de producto'!D16*'Throughput Total'!$C$2)</f>
        <v/>
      </c>
      <c r="E16" s="69" t="str">
        <f>IF('Flujo de producto'!E16*'Throughput Total'!$C$2=0,"",'Flujo de producto'!E16*'Throughput Total'!$C$2)</f>
        <v/>
      </c>
      <c r="F16" s="69" t="str">
        <f>IF('Flujo de producto'!F16*'Throughput Total'!$C$2=0,"",'Flujo de producto'!F16*'Throughput Total'!$C$2)</f>
        <v/>
      </c>
      <c r="G16" s="69" t="str">
        <f>IF('Flujo de producto'!G16*'Throughput Total'!$C$2=0,"",'Flujo de producto'!G16*'Throughput Total'!$C$2)</f>
        <v/>
      </c>
      <c r="H16" s="69" t="str">
        <f>IF('Flujo de producto'!H16*'Throughput Total'!$C$2=0,"",'Flujo de producto'!H16*'Throughput Total'!$C$2)</f>
        <v/>
      </c>
      <c r="I16" s="69" t="str">
        <f>IF('Flujo de producto'!I16*'Throughput Total'!$C$2=0,"",'Flujo de producto'!I16*'Throughput Total'!$C$2)</f>
        <v/>
      </c>
      <c r="J16" s="69" t="str">
        <f>IF('Flujo de producto'!J16*'Throughput Total'!$C$2=0,"",'Flujo de producto'!J16*'Throughput Total'!$C$2)</f>
        <v/>
      </c>
      <c r="K16" s="69" t="str">
        <f>IF('Flujo de producto'!K16*'Throughput Total'!$C$2=0,"",'Flujo de producto'!K16*'Throughput Total'!$C$2)</f>
        <v/>
      </c>
      <c r="L16" s="69" t="str">
        <f>IF('Flujo de producto'!L16*'Throughput Total'!$C$2=0,"",'Flujo de producto'!L16*'Throughput Total'!$C$2)</f>
        <v/>
      </c>
      <c r="M16" s="69" t="str">
        <f>IF('Flujo de producto'!M16*'Throughput Total'!$C$2=0,"",'Flujo de producto'!M16*'Throughput Total'!$C$2)</f>
        <v/>
      </c>
      <c r="N16" s="69" t="str">
        <f>IF('Flujo de producto'!N16*'Throughput Total'!$C$2=0,"",'Flujo de producto'!N16*'Throughput Total'!$C$2)</f>
        <v/>
      </c>
      <c r="O16" s="69" t="str">
        <f>IF('Flujo de producto'!O16*'Throughput Total'!$C$2=0,"",'Flujo de producto'!O16*'Throughput Total'!$C$2)</f>
        <v/>
      </c>
      <c r="P16" s="69" t="str">
        <f>IF('Flujo de producto'!P16*'Throughput Total'!$C$2=0,"",'Flujo de producto'!P16*'Throughput Total'!$C$2)</f>
        <v/>
      </c>
      <c r="Q16" s="69" t="str">
        <f>IF('Flujo de producto'!Q16*'Throughput Total'!$C$2=0,"",'Flujo de producto'!Q16*'Throughput Total'!$C$2)</f>
        <v/>
      </c>
      <c r="R16" s="69" t="str">
        <f>IF('Flujo de producto'!R16*'Throughput Total'!$C$2=0,"",'Flujo de producto'!R16*'Throughput Total'!$C$2)</f>
        <v/>
      </c>
      <c r="S16" s="69" t="str">
        <f>IF('Flujo de producto'!S16*'Throughput Total'!$C$2=0,"",'Flujo de producto'!S16*'Throughput Total'!$C$2)</f>
        <v/>
      </c>
      <c r="T16" s="69" t="str">
        <f>IF('Flujo de producto'!T16*'Throughput Total'!$C$2=0,"",'Flujo de producto'!T16*'Throughput Total'!$C$2)</f>
        <v/>
      </c>
      <c r="U16" s="69" t="str">
        <f>IF('Flujo de producto'!U16*'Throughput Total'!$C$2=0,"",'Flujo de producto'!U16*'Throughput Total'!$C$2)</f>
        <v/>
      </c>
      <c r="V16" s="69" t="str">
        <f>IF('Flujo de producto'!V16*'Throughput Total'!$C$2=0,"",'Flujo de producto'!V16*'Throughput Total'!$C$2)</f>
        <v/>
      </c>
    </row>
    <row r="17" spans="2:22" x14ac:dyDescent="0.25">
      <c r="B17" s="48" t="str">
        <f>IF(Servidores!C9="","",Servidores!C9)</f>
        <v>Bodega producto terminado</v>
      </c>
      <c r="C17" s="69" t="str">
        <f>IF('Flujo de producto'!C17*'Throughput Total'!$C$2=0,"",'Flujo de producto'!C17*'Throughput Total'!$C$2)</f>
        <v/>
      </c>
      <c r="D17" s="69" t="str">
        <f>IF('Flujo de producto'!D17*'Throughput Total'!$C$2=0,"",'Flujo de producto'!D17*'Throughput Total'!$C$2)</f>
        <v/>
      </c>
      <c r="E17" s="69" t="str">
        <f>IF('Flujo de producto'!E17*'Throughput Total'!$C$2=0,"",'Flujo de producto'!E17*'Throughput Total'!$C$2)</f>
        <v/>
      </c>
      <c r="F17" s="69" t="str">
        <f>IF('Flujo de producto'!F17*'Throughput Total'!$C$2=0,"",'Flujo de producto'!F17*'Throughput Total'!$C$2)</f>
        <v/>
      </c>
      <c r="G17" s="69" t="str">
        <f>IF('Flujo de producto'!G17*'Throughput Total'!$C$2=0,"",'Flujo de producto'!G17*'Throughput Total'!$C$2)</f>
        <v/>
      </c>
      <c r="H17" s="69" t="str">
        <f>IF('Flujo de producto'!H17*'Throughput Total'!$C$2=0,"",'Flujo de producto'!H17*'Throughput Total'!$C$2)</f>
        <v/>
      </c>
      <c r="I17" s="69" t="str">
        <f>IF('Flujo de producto'!I17*'Throughput Total'!$C$2=0,"",'Flujo de producto'!I17*'Throughput Total'!$C$2)</f>
        <v/>
      </c>
      <c r="J17" s="69" t="str">
        <f>IF('Flujo de producto'!J17*'Throughput Total'!$C$2=0,"",'Flujo de producto'!J17*'Throughput Total'!$C$2)</f>
        <v/>
      </c>
      <c r="K17" s="69" t="str">
        <f>IF('Flujo de producto'!K17*'Throughput Total'!$C$2=0,"",'Flujo de producto'!K17*'Throughput Total'!$C$2)</f>
        <v/>
      </c>
      <c r="L17" s="69" t="str">
        <f>IF('Flujo de producto'!L17*'Throughput Total'!$C$2=0,"",'Flujo de producto'!L17*'Throughput Total'!$C$2)</f>
        <v/>
      </c>
      <c r="M17" s="69" t="str">
        <f>IF('Flujo de producto'!M17*'Throughput Total'!$C$2=0,"",'Flujo de producto'!M17*'Throughput Total'!$C$2)</f>
        <v/>
      </c>
      <c r="N17" s="69" t="str">
        <f>IF('Flujo de producto'!N17*'Throughput Total'!$C$2=0,"",'Flujo de producto'!N17*'Throughput Total'!$C$2)</f>
        <v/>
      </c>
      <c r="O17" s="69" t="str">
        <f>IF('Flujo de producto'!O17*'Throughput Total'!$C$2=0,"",'Flujo de producto'!O17*'Throughput Total'!$C$2)</f>
        <v/>
      </c>
      <c r="P17" s="69" t="str">
        <f>IF('Flujo de producto'!P17*'Throughput Total'!$C$2=0,"",'Flujo de producto'!P17*'Throughput Total'!$C$2)</f>
        <v/>
      </c>
      <c r="Q17" s="69" t="str">
        <f>IF('Flujo de producto'!Q17*'Throughput Total'!$C$2=0,"",'Flujo de producto'!Q17*'Throughput Total'!$C$2)</f>
        <v/>
      </c>
      <c r="R17" s="69" t="str">
        <f>IF('Flujo de producto'!R17*'Throughput Total'!$C$2=0,"",'Flujo de producto'!R17*'Throughput Total'!$C$2)</f>
        <v/>
      </c>
      <c r="S17" s="69" t="str">
        <f>IF('Flujo de producto'!S17*'Throughput Total'!$C$2=0,"",'Flujo de producto'!S17*'Throughput Total'!$C$2)</f>
        <v/>
      </c>
      <c r="T17" s="69" t="str">
        <f>IF('Flujo de producto'!T17*'Throughput Total'!$C$2=0,"",'Flujo de producto'!T17*'Throughput Total'!$C$2)</f>
        <v/>
      </c>
      <c r="U17" s="69" t="str">
        <f>IF('Flujo de producto'!U17*'Throughput Total'!$C$2=0,"",'Flujo de producto'!U17*'Throughput Total'!$C$2)</f>
        <v/>
      </c>
      <c r="V17" s="69" t="str">
        <f>IF('Flujo de producto'!V17*'Throughput Total'!$C$2=0,"",'Flujo de producto'!V17*'Throughput Total'!$C$2)</f>
        <v/>
      </c>
    </row>
    <row r="18" spans="2:22" x14ac:dyDescent="0.25">
      <c r="B18" s="48" t="str">
        <f>IF(Servidores!C10="","",Servidores!C10)</f>
        <v>Estación inspección</v>
      </c>
      <c r="C18" s="69" t="str">
        <f>IF('Flujo de producto'!C18*'Throughput Total'!$C$2=0,"",'Flujo de producto'!C18*'Throughput Total'!$C$2)</f>
        <v/>
      </c>
      <c r="D18" s="69" t="str">
        <f>IF('Flujo de producto'!D18*'Throughput Total'!$C$2=0,"",'Flujo de producto'!D18*'Throughput Total'!$C$2)</f>
        <v/>
      </c>
      <c r="E18" s="69" t="str">
        <f>IF('Flujo de producto'!E18*'Throughput Total'!$C$2=0,"",'Flujo de producto'!E18*'Throughput Total'!$C$2)</f>
        <v/>
      </c>
      <c r="F18" s="69" t="str">
        <f>IF('Flujo de producto'!F18*'Throughput Total'!$C$2=0,"",'Flujo de producto'!F18*'Throughput Total'!$C$2)</f>
        <v/>
      </c>
      <c r="G18" s="69">
        <f>IF('Flujo de producto'!G18*'Throughput Total'!$C$2=0,"",'Flujo de producto'!G18*'Throughput Total'!$C$2)</f>
        <v>47.7</v>
      </c>
      <c r="H18" s="69" t="str">
        <f>IF('Flujo de producto'!H18*'Throughput Total'!$C$2=0,"",'Flujo de producto'!H18*'Throughput Total'!$C$2)</f>
        <v/>
      </c>
      <c r="I18" s="69" t="str">
        <f>IF('Flujo de producto'!I18*'Throughput Total'!$C$2=0,"",'Flujo de producto'!I18*'Throughput Total'!$C$2)</f>
        <v/>
      </c>
      <c r="J18" s="69" t="str">
        <f>IF('Flujo de producto'!J18*'Throughput Total'!$C$2=0,"",'Flujo de producto'!J18*'Throughput Total'!$C$2)</f>
        <v/>
      </c>
      <c r="K18" s="69" t="str">
        <f>IF('Flujo de producto'!K18*'Throughput Total'!$C$2=0,"",'Flujo de producto'!K18*'Throughput Total'!$C$2)</f>
        <v/>
      </c>
      <c r="L18" s="69" t="str">
        <f>IF('Flujo de producto'!L18*'Throughput Total'!$C$2=0,"",'Flujo de producto'!L18*'Throughput Total'!$C$2)</f>
        <v/>
      </c>
      <c r="M18" s="69" t="str">
        <f>IF('Flujo de producto'!M18*'Throughput Total'!$C$2=0,"",'Flujo de producto'!M18*'Throughput Total'!$C$2)</f>
        <v/>
      </c>
      <c r="N18" s="69" t="str">
        <f>IF('Flujo de producto'!N18*'Throughput Total'!$C$2=0,"",'Flujo de producto'!N18*'Throughput Total'!$C$2)</f>
        <v/>
      </c>
      <c r="O18" s="69" t="str">
        <f>IF('Flujo de producto'!O18*'Throughput Total'!$C$2=0,"",'Flujo de producto'!O18*'Throughput Total'!$C$2)</f>
        <v/>
      </c>
      <c r="P18" s="69" t="str">
        <f>IF('Flujo de producto'!P18*'Throughput Total'!$C$2=0,"",'Flujo de producto'!P18*'Throughput Total'!$C$2)</f>
        <v/>
      </c>
      <c r="Q18" s="69" t="str">
        <f>IF('Flujo de producto'!Q18*'Throughput Total'!$C$2=0,"",'Flujo de producto'!Q18*'Throughput Total'!$C$2)</f>
        <v/>
      </c>
      <c r="R18" s="69" t="str">
        <f>IF('Flujo de producto'!R18*'Throughput Total'!$C$2=0,"",'Flujo de producto'!R18*'Throughput Total'!$C$2)</f>
        <v/>
      </c>
      <c r="S18" s="69" t="str">
        <f>IF('Flujo de producto'!S18*'Throughput Total'!$C$2=0,"",'Flujo de producto'!S18*'Throughput Total'!$C$2)</f>
        <v/>
      </c>
      <c r="T18" s="69" t="str">
        <f>IF('Flujo de producto'!T18*'Throughput Total'!$C$2=0,"",'Flujo de producto'!T18*'Throughput Total'!$C$2)</f>
        <v/>
      </c>
      <c r="U18" s="69" t="str">
        <f>IF('Flujo de producto'!U18*'Throughput Total'!$C$2=0,"",'Flujo de producto'!U18*'Throughput Total'!$C$2)</f>
        <v/>
      </c>
      <c r="V18" s="69" t="str">
        <f>IF('Flujo de producto'!V18*'Throughput Total'!$C$2=0,"",'Flujo de producto'!V18*'Throughput Total'!$C$2)</f>
        <v/>
      </c>
    </row>
    <row r="19" spans="2:22" x14ac:dyDescent="0.25">
      <c r="B19" s="48" t="str">
        <f>IF(Servidores!C11="","",Servidores!C11)</f>
        <v>Estación reproceso</v>
      </c>
      <c r="C19" s="69" t="str">
        <f>IF('Flujo de producto'!C19*'Throughput Total'!$C$2=0,"",'Flujo de producto'!C19*'Throughput Total'!$C$2)</f>
        <v/>
      </c>
      <c r="D19" s="69" t="str">
        <f>IF('Flujo de producto'!D19*'Throughput Total'!$C$2=0,"",'Flujo de producto'!D19*'Throughput Total'!$C$2)</f>
        <v/>
      </c>
      <c r="E19" s="69" t="str">
        <f>IF('Flujo de producto'!E19*'Throughput Total'!$C$2=0,"",'Flujo de producto'!E19*'Throughput Total'!$C$2)</f>
        <v/>
      </c>
      <c r="F19" s="69" t="str">
        <f>IF('Flujo de producto'!F19*'Throughput Total'!$C$2=0,"",'Flujo de producto'!F19*'Throughput Total'!$C$2)</f>
        <v/>
      </c>
      <c r="G19" s="69" t="str">
        <f>IF('Flujo de producto'!G19*'Throughput Total'!$C$2=0,"",'Flujo de producto'!G19*'Throughput Total'!$C$2)</f>
        <v/>
      </c>
      <c r="H19" s="69" t="str">
        <f>IF('Flujo de producto'!H19*'Throughput Total'!$C$2=0,"",'Flujo de producto'!H19*'Throughput Total'!$C$2)</f>
        <v/>
      </c>
      <c r="I19" s="69" t="str">
        <f>IF('Flujo de producto'!I19*'Throughput Total'!$C$2=0,"",'Flujo de producto'!I19*'Throughput Total'!$C$2)</f>
        <v/>
      </c>
      <c r="J19" s="69" t="str">
        <f>IF('Flujo de producto'!J19*'Throughput Total'!$C$2=0,"",'Flujo de producto'!J19*'Throughput Total'!$C$2)</f>
        <v/>
      </c>
      <c r="K19" s="69" t="str">
        <f>IF('Flujo de producto'!K19*'Throughput Total'!$C$2=0,"",'Flujo de producto'!K19*'Throughput Total'!$C$2)</f>
        <v/>
      </c>
      <c r="L19" s="69" t="str">
        <f>IF('Flujo de producto'!L19*'Throughput Total'!$C$2=0,"",'Flujo de producto'!L19*'Throughput Total'!$C$2)</f>
        <v/>
      </c>
      <c r="M19" s="69" t="str">
        <f>IF('Flujo de producto'!M19*'Throughput Total'!$C$2=0,"",'Flujo de producto'!M19*'Throughput Total'!$C$2)</f>
        <v/>
      </c>
      <c r="N19" s="69" t="str">
        <f>IF('Flujo de producto'!N19*'Throughput Total'!$C$2=0,"",'Flujo de producto'!N19*'Throughput Total'!$C$2)</f>
        <v/>
      </c>
      <c r="O19" s="69" t="str">
        <f>IF('Flujo de producto'!O19*'Throughput Total'!$C$2=0,"",'Flujo de producto'!O19*'Throughput Total'!$C$2)</f>
        <v/>
      </c>
      <c r="P19" s="69" t="str">
        <f>IF('Flujo de producto'!P19*'Throughput Total'!$C$2=0,"",'Flujo de producto'!P19*'Throughput Total'!$C$2)</f>
        <v/>
      </c>
      <c r="Q19" s="69" t="str">
        <f>IF('Flujo de producto'!Q19*'Throughput Total'!$C$2=0,"",'Flujo de producto'!Q19*'Throughput Total'!$C$2)</f>
        <v/>
      </c>
      <c r="R19" s="69" t="str">
        <f>IF('Flujo de producto'!R19*'Throughput Total'!$C$2=0,"",'Flujo de producto'!R19*'Throughput Total'!$C$2)</f>
        <v/>
      </c>
      <c r="S19" s="69" t="str">
        <f>IF('Flujo de producto'!S19*'Throughput Total'!$C$2=0,"",'Flujo de producto'!S19*'Throughput Total'!$C$2)</f>
        <v/>
      </c>
      <c r="T19" s="69" t="str">
        <f>IF('Flujo de producto'!T19*'Throughput Total'!$C$2=0,"",'Flujo de producto'!T19*'Throughput Total'!$C$2)</f>
        <v/>
      </c>
      <c r="U19" s="69" t="str">
        <f>IF('Flujo de producto'!U19*'Throughput Total'!$C$2=0,"",'Flujo de producto'!U19*'Throughput Total'!$C$2)</f>
        <v/>
      </c>
      <c r="V19" s="69" t="str">
        <f>IF('Flujo de producto'!V19*'Throughput Total'!$C$2=0,"",'Flujo de producto'!V19*'Throughput Total'!$C$2)</f>
        <v/>
      </c>
    </row>
    <row r="20" spans="2:22" x14ac:dyDescent="0.25">
      <c r="B20" s="48" t="str">
        <f>IF(Servidores!C12="","",Servidores!C12)</f>
        <v/>
      </c>
      <c r="C20" s="69" t="str">
        <f>IF('Flujo de producto'!C20*'Throughput Total'!$C$2=0,"",'Flujo de producto'!C20*'Throughput Total'!$C$2)</f>
        <v/>
      </c>
      <c r="D20" s="69" t="str">
        <f>IF('Flujo de producto'!D20*'Throughput Total'!$C$2=0,"",'Flujo de producto'!D20*'Throughput Total'!$C$2)</f>
        <v/>
      </c>
      <c r="E20" s="69" t="str">
        <f>IF('Flujo de producto'!E20*'Throughput Total'!$C$2=0,"",'Flujo de producto'!E20*'Throughput Total'!$C$2)</f>
        <v/>
      </c>
      <c r="F20" s="69" t="str">
        <f>IF('Flujo de producto'!F20*'Throughput Total'!$C$2=0,"",'Flujo de producto'!F20*'Throughput Total'!$C$2)</f>
        <v/>
      </c>
      <c r="G20" s="69" t="str">
        <f>IF('Flujo de producto'!G20*'Throughput Total'!$C$2=0,"",'Flujo de producto'!G20*'Throughput Total'!$C$2)</f>
        <v/>
      </c>
      <c r="H20" s="69" t="str">
        <f>IF('Flujo de producto'!H20*'Throughput Total'!$C$2=0,"",'Flujo de producto'!H20*'Throughput Total'!$C$2)</f>
        <v/>
      </c>
      <c r="I20" s="69" t="str">
        <f>IF('Flujo de producto'!I20*'Throughput Total'!$C$2=0,"",'Flujo de producto'!I20*'Throughput Total'!$C$2)</f>
        <v/>
      </c>
      <c r="J20" s="69" t="str">
        <f>IF('Flujo de producto'!J20*'Throughput Total'!$C$2=0,"",'Flujo de producto'!J20*'Throughput Total'!$C$2)</f>
        <v/>
      </c>
      <c r="K20" s="69" t="str">
        <f>IF('Flujo de producto'!K20*'Throughput Total'!$C$2=0,"",'Flujo de producto'!K20*'Throughput Total'!$C$2)</f>
        <v/>
      </c>
      <c r="L20" s="69" t="str">
        <f>IF('Flujo de producto'!L20*'Throughput Total'!$C$2=0,"",'Flujo de producto'!L20*'Throughput Total'!$C$2)</f>
        <v/>
      </c>
      <c r="M20" s="69" t="str">
        <f>IF('Flujo de producto'!M20*'Throughput Total'!$C$2=0,"",'Flujo de producto'!M20*'Throughput Total'!$C$2)</f>
        <v/>
      </c>
      <c r="N20" s="69" t="str">
        <f>IF('Flujo de producto'!N20*'Throughput Total'!$C$2=0,"",'Flujo de producto'!N20*'Throughput Total'!$C$2)</f>
        <v/>
      </c>
      <c r="O20" s="69" t="str">
        <f>IF('Flujo de producto'!O20*'Throughput Total'!$C$2=0,"",'Flujo de producto'!O20*'Throughput Total'!$C$2)</f>
        <v/>
      </c>
      <c r="P20" s="69" t="str">
        <f>IF('Flujo de producto'!P20*'Throughput Total'!$C$2=0,"",'Flujo de producto'!P20*'Throughput Total'!$C$2)</f>
        <v/>
      </c>
      <c r="Q20" s="69" t="str">
        <f>IF('Flujo de producto'!Q20*'Throughput Total'!$C$2=0,"",'Flujo de producto'!Q20*'Throughput Total'!$C$2)</f>
        <v/>
      </c>
      <c r="R20" s="69" t="str">
        <f>IF('Flujo de producto'!R20*'Throughput Total'!$C$2=0,"",'Flujo de producto'!R20*'Throughput Total'!$C$2)</f>
        <v/>
      </c>
      <c r="S20" s="69" t="str">
        <f>IF('Flujo de producto'!S20*'Throughput Total'!$C$2=0,"",'Flujo de producto'!S20*'Throughput Total'!$C$2)</f>
        <v/>
      </c>
      <c r="T20" s="69" t="str">
        <f>IF('Flujo de producto'!T20*'Throughput Total'!$C$2=0,"",'Flujo de producto'!T20*'Throughput Total'!$C$2)</f>
        <v/>
      </c>
      <c r="U20" s="69" t="str">
        <f>IF('Flujo de producto'!U20*'Throughput Total'!$C$2=0,"",'Flujo de producto'!U20*'Throughput Total'!$C$2)</f>
        <v/>
      </c>
      <c r="V20" s="69" t="str">
        <f>IF('Flujo de producto'!V20*'Throughput Total'!$C$2=0,"",'Flujo de producto'!V20*'Throughput Total'!$C$2)</f>
        <v/>
      </c>
    </row>
    <row r="21" spans="2:22" x14ac:dyDescent="0.25">
      <c r="B21" s="48" t="str">
        <f>IF(Servidores!C13="","",Servidores!C13)</f>
        <v/>
      </c>
      <c r="C21" s="69" t="str">
        <f>IF('Flujo de producto'!C21*'Throughput Total'!$C$2=0,"",'Flujo de producto'!C21*'Throughput Total'!$C$2)</f>
        <v/>
      </c>
      <c r="D21" s="69" t="str">
        <f>IF('Flujo de producto'!D21*'Throughput Total'!$C$2=0,"",'Flujo de producto'!D21*'Throughput Total'!$C$2)</f>
        <v/>
      </c>
      <c r="E21" s="69" t="str">
        <f>IF('Flujo de producto'!E21*'Throughput Total'!$C$2=0,"",'Flujo de producto'!E21*'Throughput Total'!$C$2)</f>
        <v/>
      </c>
      <c r="F21" s="69" t="str">
        <f>IF('Flujo de producto'!F21*'Throughput Total'!$C$2=0,"",'Flujo de producto'!F21*'Throughput Total'!$C$2)</f>
        <v/>
      </c>
      <c r="G21" s="69" t="str">
        <f>IF('Flujo de producto'!G21*'Throughput Total'!$C$2=0,"",'Flujo de producto'!G21*'Throughput Total'!$C$2)</f>
        <v/>
      </c>
      <c r="H21" s="69" t="str">
        <f>IF('Flujo de producto'!H21*'Throughput Total'!$C$2=0,"",'Flujo de producto'!H21*'Throughput Total'!$C$2)</f>
        <v/>
      </c>
      <c r="I21" s="69" t="str">
        <f>IF('Flujo de producto'!I21*'Throughput Total'!$C$2=0,"",'Flujo de producto'!I21*'Throughput Total'!$C$2)</f>
        <v/>
      </c>
      <c r="J21" s="69" t="str">
        <f>IF('Flujo de producto'!J21*'Throughput Total'!$C$2=0,"",'Flujo de producto'!J21*'Throughput Total'!$C$2)</f>
        <v/>
      </c>
      <c r="K21" s="69" t="str">
        <f>IF('Flujo de producto'!K21*'Throughput Total'!$C$2=0,"",'Flujo de producto'!K21*'Throughput Total'!$C$2)</f>
        <v/>
      </c>
      <c r="L21" s="69" t="str">
        <f>IF('Flujo de producto'!L21*'Throughput Total'!$C$2=0,"",'Flujo de producto'!L21*'Throughput Total'!$C$2)</f>
        <v/>
      </c>
      <c r="M21" s="69" t="str">
        <f>IF('Flujo de producto'!M21*'Throughput Total'!$C$2=0,"",'Flujo de producto'!M21*'Throughput Total'!$C$2)</f>
        <v/>
      </c>
      <c r="N21" s="69" t="str">
        <f>IF('Flujo de producto'!N21*'Throughput Total'!$C$2=0,"",'Flujo de producto'!N21*'Throughput Total'!$C$2)</f>
        <v/>
      </c>
      <c r="O21" s="69" t="str">
        <f>IF('Flujo de producto'!O21*'Throughput Total'!$C$2=0,"",'Flujo de producto'!O21*'Throughput Total'!$C$2)</f>
        <v/>
      </c>
      <c r="P21" s="69" t="str">
        <f>IF('Flujo de producto'!P21*'Throughput Total'!$C$2=0,"",'Flujo de producto'!P21*'Throughput Total'!$C$2)</f>
        <v/>
      </c>
      <c r="Q21" s="69" t="str">
        <f>IF('Flujo de producto'!Q21*'Throughput Total'!$C$2=0,"",'Flujo de producto'!Q21*'Throughput Total'!$C$2)</f>
        <v/>
      </c>
      <c r="R21" s="69" t="str">
        <f>IF('Flujo de producto'!R21*'Throughput Total'!$C$2=0,"",'Flujo de producto'!R21*'Throughput Total'!$C$2)</f>
        <v/>
      </c>
      <c r="S21" s="69" t="str">
        <f>IF('Flujo de producto'!S21*'Throughput Total'!$C$2=0,"",'Flujo de producto'!S21*'Throughput Total'!$C$2)</f>
        <v/>
      </c>
      <c r="T21" s="69" t="str">
        <f>IF('Flujo de producto'!T21*'Throughput Total'!$C$2=0,"",'Flujo de producto'!T21*'Throughput Total'!$C$2)</f>
        <v/>
      </c>
      <c r="U21" s="69" t="str">
        <f>IF('Flujo de producto'!U21*'Throughput Total'!$C$2=0,"",'Flujo de producto'!U21*'Throughput Total'!$C$2)</f>
        <v/>
      </c>
      <c r="V21" s="69" t="str">
        <f>IF('Flujo de producto'!V21*'Throughput Total'!$C$2=0,"",'Flujo de producto'!V21*'Throughput Total'!$C$2)</f>
        <v/>
      </c>
    </row>
    <row r="22" spans="2:22" x14ac:dyDescent="0.25">
      <c r="B22" s="48" t="str">
        <f>IF(Servidores!C14="","",Servidores!C14)</f>
        <v/>
      </c>
      <c r="C22" s="69" t="str">
        <f>IF('Flujo de producto'!C22*'Throughput Total'!$C$2=0,"",'Flujo de producto'!C22*'Throughput Total'!$C$2)</f>
        <v/>
      </c>
      <c r="D22" s="69" t="str">
        <f>IF('Flujo de producto'!D22*'Throughput Total'!$C$2=0,"",'Flujo de producto'!D22*'Throughput Total'!$C$2)</f>
        <v/>
      </c>
      <c r="E22" s="69" t="str">
        <f>IF('Flujo de producto'!E22*'Throughput Total'!$C$2=0,"",'Flujo de producto'!E22*'Throughput Total'!$C$2)</f>
        <v/>
      </c>
      <c r="F22" s="69" t="str">
        <f>IF('Flujo de producto'!F22*'Throughput Total'!$C$2=0,"",'Flujo de producto'!F22*'Throughput Total'!$C$2)</f>
        <v/>
      </c>
      <c r="G22" s="69" t="str">
        <f>IF('Flujo de producto'!G22*'Throughput Total'!$C$2=0,"",'Flujo de producto'!G22*'Throughput Total'!$C$2)</f>
        <v/>
      </c>
      <c r="H22" s="69" t="str">
        <f>IF('Flujo de producto'!H22*'Throughput Total'!$C$2=0,"",'Flujo de producto'!H22*'Throughput Total'!$C$2)</f>
        <v/>
      </c>
      <c r="I22" s="69" t="str">
        <f>IF('Flujo de producto'!I22*'Throughput Total'!$C$2=0,"",'Flujo de producto'!I22*'Throughput Total'!$C$2)</f>
        <v/>
      </c>
      <c r="J22" s="69" t="str">
        <f>IF('Flujo de producto'!J22*'Throughput Total'!$C$2=0,"",'Flujo de producto'!J22*'Throughput Total'!$C$2)</f>
        <v/>
      </c>
      <c r="K22" s="69" t="str">
        <f>IF('Flujo de producto'!K22*'Throughput Total'!$C$2=0,"",'Flujo de producto'!K22*'Throughput Total'!$C$2)</f>
        <v/>
      </c>
      <c r="L22" s="69" t="str">
        <f>IF('Flujo de producto'!L22*'Throughput Total'!$C$2=0,"",'Flujo de producto'!L22*'Throughput Total'!$C$2)</f>
        <v/>
      </c>
      <c r="M22" s="69" t="str">
        <f>IF('Flujo de producto'!M22*'Throughput Total'!$C$2=0,"",'Flujo de producto'!M22*'Throughput Total'!$C$2)</f>
        <v/>
      </c>
      <c r="N22" s="69" t="str">
        <f>IF('Flujo de producto'!N22*'Throughput Total'!$C$2=0,"",'Flujo de producto'!N22*'Throughput Total'!$C$2)</f>
        <v/>
      </c>
      <c r="O22" s="69" t="str">
        <f>IF('Flujo de producto'!O22*'Throughput Total'!$C$2=0,"",'Flujo de producto'!O22*'Throughput Total'!$C$2)</f>
        <v/>
      </c>
      <c r="P22" s="69" t="str">
        <f>IF('Flujo de producto'!P22*'Throughput Total'!$C$2=0,"",'Flujo de producto'!P22*'Throughput Total'!$C$2)</f>
        <v/>
      </c>
      <c r="Q22" s="69" t="str">
        <f>IF('Flujo de producto'!Q22*'Throughput Total'!$C$2=0,"",'Flujo de producto'!Q22*'Throughput Total'!$C$2)</f>
        <v/>
      </c>
      <c r="R22" s="69" t="str">
        <f>IF('Flujo de producto'!R22*'Throughput Total'!$C$2=0,"",'Flujo de producto'!R22*'Throughput Total'!$C$2)</f>
        <v/>
      </c>
      <c r="S22" s="69" t="str">
        <f>IF('Flujo de producto'!S22*'Throughput Total'!$C$2=0,"",'Flujo de producto'!S22*'Throughput Total'!$C$2)</f>
        <v/>
      </c>
      <c r="T22" s="69" t="str">
        <f>IF('Flujo de producto'!T22*'Throughput Total'!$C$2=0,"",'Flujo de producto'!T22*'Throughput Total'!$C$2)</f>
        <v/>
      </c>
      <c r="U22" s="69" t="str">
        <f>IF('Flujo de producto'!U22*'Throughput Total'!$C$2=0,"",'Flujo de producto'!U22*'Throughput Total'!$C$2)</f>
        <v/>
      </c>
      <c r="V22" s="69" t="str">
        <f>IF('Flujo de producto'!V22*'Throughput Total'!$C$2=0,"",'Flujo de producto'!V22*'Throughput Total'!$C$2)</f>
        <v/>
      </c>
    </row>
    <row r="23" spans="2:22" x14ac:dyDescent="0.25">
      <c r="B23" s="48" t="str">
        <f>IF(Servidores!C15="","",Servidores!C15)</f>
        <v/>
      </c>
      <c r="C23" s="69" t="str">
        <f>IF('Flujo de producto'!C23*'Throughput Total'!$C$2=0,"",'Flujo de producto'!C23*'Throughput Total'!$C$2)</f>
        <v/>
      </c>
      <c r="D23" s="69" t="str">
        <f>IF('Flujo de producto'!D23*'Throughput Total'!$C$2=0,"",'Flujo de producto'!D23*'Throughput Total'!$C$2)</f>
        <v/>
      </c>
      <c r="E23" s="69" t="str">
        <f>IF('Flujo de producto'!E23*'Throughput Total'!$C$2=0,"",'Flujo de producto'!E23*'Throughput Total'!$C$2)</f>
        <v/>
      </c>
      <c r="F23" s="69" t="str">
        <f>IF('Flujo de producto'!F23*'Throughput Total'!$C$2=0,"",'Flujo de producto'!F23*'Throughput Total'!$C$2)</f>
        <v/>
      </c>
      <c r="G23" s="69" t="str">
        <f>IF('Flujo de producto'!G23*'Throughput Total'!$C$2=0,"",'Flujo de producto'!G23*'Throughput Total'!$C$2)</f>
        <v/>
      </c>
      <c r="H23" s="69" t="str">
        <f>IF('Flujo de producto'!H23*'Throughput Total'!$C$2=0,"",'Flujo de producto'!H23*'Throughput Total'!$C$2)</f>
        <v/>
      </c>
      <c r="I23" s="69" t="str">
        <f>IF('Flujo de producto'!I23*'Throughput Total'!$C$2=0,"",'Flujo de producto'!I23*'Throughput Total'!$C$2)</f>
        <v/>
      </c>
      <c r="J23" s="69" t="str">
        <f>IF('Flujo de producto'!J23*'Throughput Total'!$C$2=0,"",'Flujo de producto'!J23*'Throughput Total'!$C$2)</f>
        <v/>
      </c>
      <c r="K23" s="69" t="str">
        <f>IF('Flujo de producto'!K23*'Throughput Total'!$C$2=0,"",'Flujo de producto'!K23*'Throughput Total'!$C$2)</f>
        <v/>
      </c>
      <c r="L23" s="69" t="str">
        <f>IF('Flujo de producto'!L23*'Throughput Total'!$C$2=0,"",'Flujo de producto'!L23*'Throughput Total'!$C$2)</f>
        <v/>
      </c>
      <c r="M23" s="69" t="str">
        <f>IF('Flujo de producto'!M23*'Throughput Total'!$C$2=0,"",'Flujo de producto'!M23*'Throughput Total'!$C$2)</f>
        <v/>
      </c>
      <c r="N23" s="69" t="str">
        <f>IF('Flujo de producto'!N23*'Throughput Total'!$C$2=0,"",'Flujo de producto'!N23*'Throughput Total'!$C$2)</f>
        <v/>
      </c>
      <c r="O23" s="69" t="str">
        <f>IF('Flujo de producto'!O23*'Throughput Total'!$C$2=0,"",'Flujo de producto'!O23*'Throughput Total'!$C$2)</f>
        <v/>
      </c>
      <c r="P23" s="69" t="str">
        <f>IF('Flujo de producto'!P23*'Throughput Total'!$C$2=0,"",'Flujo de producto'!P23*'Throughput Total'!$C$2)</f>
        <v/>
      </c>
      <c r="Q23" s="69" t="str">
        <f>IF('Flujo de producto'!Q23*'Throughput Total'!$C$2=0,"",'Flujo de producto'!Q23*'Throughput Total'!$C$2)</f>
        <v/>
      </c>
      <c r="R23" s="69" t="str">
        <f>IF('Flujo de producto'!R23*'Throughput Total'!$C$2=0,"",'Flujo de producto'!R23*'Throughput Total'!$C$2)</f>
        <v/>
      </c>
      <c r="S23" s="69" t="str">
        <f>IF('Flujo de producto'!S23*'Throughput Total'!$C$2=0,"",'Flujo de producto'!S23*'Throughput Total'!$C$2)</f>
        <v/>
      </c>
      <c r="T23" s="69" t="str">
        <f>IF('Flujo de producto'!T23*'Throughput Total'!$C$2=0,"",'Flujo de producto'!T23*'Throughput Total'!$C$2)</f>
        <v/>
      </c>
      <c r="U23" s="69" t="str">
        <f>IF('Flujo de producto'!U23*'Throughput Total'!$C$2=0,"",'Flujo de producto'!U23*'Throughput Total'!$C$2)</f>
        <v/>
      </c>
      <c r="V23" s="69" t="str">
        <f>IF('Flujo de producto'!V23*'Throughput Total'!$C$2=0,"",'Flujo de producto'!V23*'Throughput Total'!$C$2)</f>
        <v/>
      </c>
    </row>
    <row r="24" spans="2:22" x14ac:dyDescent="0.25">
      <c r="B24" s="48" t="str">
        <f>IF(Servidores!C16="","",Servidores!C16)</f>
        <v/>
      </c>
      <c r="C24" s="69" t="str">
        <f>IF('Flujo de producto'!C24*'Throughput Total'!$C$2=0,"",'Flujo de producto'!C24*'Throughput Total'!$C$2)</f>
        <v/>
      </c>
      <c r="D24" s="69" t="str">
        <f>IF('Flujo de producto'!D24*'Throughput Total'!$C$2=0,"",'Flujo de producto'!D24*'Throughput Total'!$C$2)</f>
        <v/>
      </c>
      <c r="E24" s="69" t="str">
        <f>IF('Flujo de producto'!E24*'Throughput Total'!$C$2=0,"",'Flujo de producto'!E24*'Throughput Total'!$C$2)</f>
        <v/>
      </c>
      <c r="F24" s="69" t="str">
        <f>IF('Flujo de producto'!F24*'Throughput Total'!$C$2=0,"",'Flujo de producto'!F24*'Throughput Total'!$C$2)</f>
        <v/>
      </c>
      <c r="G24" s="69" t="str">
        <f>IF('Flujo de producto'!G24*'Throughput Total'!$C$2=0,"",'Flujo de producto'!G24*'Throughput Total'!$C$2)</f>
        <v/>
      </c>
      <c r="H24" s="69" t="str">
        <f>IF('Flujo de producto'!H24*'Throughput Total'!$C$2=0,"",'Flujo de producto'!H24*'Throughput Total'!$C$2)</f>
        <v/>
      </c>
      <c r="I24" s="69" t="str">
        <f>IF('Flujo de producto'!I24*'Throughput Total'!$C$2=0,"",'Flujo de producto'!I24*'Throughput Total'!$C$2)</f>
        <v/>
      </c>
      <c r="J24" s="69" t="str">
        <f>IF('Flujo de producto'!J24*'Throughput Total'!$C$2=0,"",'Flujo de producto'!J24*'Throughput Total'!$C$2)</f>
        <v/>
      </c>
      <c r="K24" s="69" t="str">
        <f>IF('Flujo de producto'!K24*'Throughput Total'!$C$2=0,"",'Flujo de producto'!K24*'Throughput Total'!$C$2)</f>
        <v/>
      </c>
      <c r="L24" s="69" t="str">
        <f>IF('Flujo de producto'!L24*'Throughput Total'!$C$2=0,"",'Flujo de producto'!L24*'Throughput Total'!$C$2)</f>
        <v/>
      </c>
      <c r="M24" s="69" t="str">
        <f>IF('Flujo de producto'!M24*'Throughput Total'!$C$2=0,"",'Flujo de producto'!M24*'Throughput Total'!$C$2)</f>
        <v/>
      </c>
      <c r="N24" s="69" t="str">
        <f>IF('Flujo de producto'!N24*'Throughput Total'!$C$2=0,"",'Flujo de producto'!N24*'Throughput Total'!$C$2)</f>
        <v/>
      </c>
      <c r="O24" s="69" t="str">
        <f>IF('Flujo de producto'!O24*'Throughput Total'!$C$2=0,"",'Flujo de producto'!O24*'Throughput Total'!$C$2)</f>
        <v/>
      </c>
      <c r="P24" s="69" t="str">
        <f>IF('Flujo de producto'!P24*'Throughput Total'!$C$2=0,"",'Flujo de producto'!P24*'Throughput Total'!$C$2)</f>
        <v/>
      </c>
      <c r="Q24" s="69" t="str">
        <f>IF('Flujo de producto'!Q24*'Throughput Total'!$C$2=0,"",'Flujo de producto'!Q24*'Throughput Total'!$C$2)</f>
        <v/>
      </c>
      <c r="R24" s="69" t="str">
        <f>IF('Flujo de producto'!R24*'Throughput Total'!$C$2=0,"",'Flujo de producto'!R24*'Throughput Total'!$C$2)</f>
        <v/>
      </c>
      <c r="S24" s="69" t="str">
        <f>IF('Flujo de producto'!S24*'Throughput Total'!$C$2=0,"",'Flujo de producto'!S24*'Throughput Total'!$C$2)</f>
        <v/>
      </c>
      <c r="T24" s="69" t="str">
        <f>IF('Flujo de producto'!T24*'Throughput Total'!$C$2=0,"",'Flujo de producto'!T24*'Throughput Total'!$C$2)</f>
        <v/>
      </c>
      <c r="U24" s="69" t="str">
        <f>IF('Flujo de producto'!U24*'Throughput Total'!$C$2=0,"",'Flujo de producto'!U24*'Throughput Total'!$C$2)</f>
        <v/>
      </c>
      <c r="V24" s="69" t="str">
        <f>IF('Flujo de producto'!V24*'Throughput Total'!$C$2=0,"",'Flujo de producto'!V24*'Throughput Total'!$C$2)</f>
        <v/>
      </c>
    </row>
    <row r="25" spans="2:22" x14ac:dyDescent="0.25">
      <c r="B25" s="48" t="str">
        <f>IF(Servidores!C17="","",Servidores!C17)</f>
        <v/>
      </c>
      <c r="C25" s="69" t="str">
        <f>IF('Flujo de producto'!C25*'Throughput Total'!$C$2=0,"",'Flujo de producto'!C25*'Throughput Total'!$C$2)</f>
        <v/>
      </c>
      <c r="D25" s="69" t="str">
        <f>IF('Flujo de producto'!D25*'Throughput Total'!$C$2=0,"",'Flujo de producto'!D25*'Throughput Total'!$C$2)</f>
        <v/>
      </c>
      <c r="E25" s="69" t="str">
        <f>IF('Flujo de producto'!E25*'Throughput Total'!$C$2=0,"",'Flujo de producto'!E25*'Throughput Total'!$C$2)</f>
        <v/>
      </c>
      <c r="F25" s="69" t="str">
        <f>IF('Flujo de producto'!F25*'Throughput Total'!$C$2=0,"",'Flujo de producto'!F25*'Throughput Total'!$C$2)</f>
        <v/>
      </c>
      <c r="G25" s="69" t="str">
        <f>IF('Flujo de producto'!G25*'Throughput Total'!$C$2=0,"",'Flujo de producto'!G25*'Throughput Total'!$C$2)</f>
        <v/>
      </c>
      <c r="H25" s="69" t="str">
        <f>IF('Flujo de producto'!H25*'Throughput Total'!$C$2=0,"",'Flujo de producto'!H25*'Throughput Total'!$C$2)</f>
        <v/>
      </c>
      <c r="I25" s="69" t="str">
        <f>IF('Flujo de producto'!I25*'Throughput Total'!$C$2=0,"",'Flujo de producto'!I25*'Throughput Total'!$C$2)</f>
        <v/>
      </c>
      <c r="J25" s="69" t="str">
        <f>IF('Flujo de producto'!J25*'Throughput Total'!$C$2=0,"",'Flujo de producto'!J25*'Throughput Total'!$C$2)</f>
        <v/>
      </c>
      <c r="K25" s="69" t="str">
        <f>IF('Flujo de producto'!K25*'Throughput Total'!$C$2=0,"",'Flujo de producto'!K25*'Throughput Total'!$C$2)</f>
        <v/>
      </c>
      <c r="L25" s="69" t="str">
        <f>IF('Flujo de producto'!L25*'Throughput Total'!$C$2=0,"",'Flujo de producto'!L25*'Throughput Total'!$C$2)</f>
        <v/>
      </c>
      <c r="M25" s="69" t="str">
        <f>IF('Flujo de producto'!M25*'Throughput Total'!$C$2=0,"",'Flujo de producto'!M25*'Throughput Total'!$C$2)</f>
        <v/>
      </c>
      <c r="N25" s="69" t="str">
        <f>IF('Flujo de producto'!N25*'Throughput Total'!$C$2=0,"",'Flujo de producto'!N25*'Throughput Total'!$C$2)</f>
        <v/>
      </c>
      <c r="O25" s="69" t="str">
        <f>IF('Flujo de producto'!O25*'Throughput Total'!$C$2=0,"",'Flujo de producto'!O25*'Throughput Total'!$C$2)</f>
        <v/>
      </c>
      <c r="P25" s="69" t="str">
        <f>IF('Flujo de producto'!P25*'Throughput Total'!$C$2=0,"",'Flujo de producto'!P25*'Throughput Total'!$C$2)</f>
        <v/>
      </c>
      <c r="Q25" s="69" t="str">
        <f>IF('Flujo de producto'!Q25*'Throughput Total'!$C$2=0,"",'Flujo de producto'!Q25*'Throughput Total'!$C$2)</f>
        <v/>
      </c>
      <c r="R25" s="69" t="str">
        <f>IF('Flujo de producto'!R25*'Throughput Total'!$C$2=0,"",'Flujo de producto'!R25*'Throughput Total'!$C$2)</f>
        <v/>
      </c>
      <c r="S25" s="69" t="str">
        <f>IF('Flujo de producto'!S25*'Throughput Total'!$C$2=0,"",'Flujo de producto'!S25*'Throughput Total'!$C$2)</f>
        <v/>
      </c>
      <c r="T25" s="69" t="str">
        <f>IF('Flujo de producto'!T25*'Throughput Total'!$C$2=0,"",'Flujo de producto'!T25*'Throughput Total'!$C$2)</f>
        <v/>
      </c>
      <c r="U25" s="69" t="str">
        <f>IF('Flujo de producto'!U25*'Throughput Total'!$C$2=0,"",'Flujo de producto'!U25*'Throughput Total'!$C$2)</f>
        <v/>
      </c>
      <c r="V25" s="69" t="str">
        <f>IF('Flujo de producto'!V25*'Throughput Total'!$C$2=0,"",'Flujo de producto'!V25*'Throughput Total'!$C$2)</f>
        <v/>
      </c>
    </row>
    <row r="26" spans="2:22" x14ac:dyDescent="0.25">
      <c r="B26" s="48" t="str">
        <f>IF(Servidores!C18="","",Servidores!C18)</f>
        <v/>
      </c>
      <c r="C26" s="69" t="str">
        <f>IF('Flujo de producto'!C26*'Throughput Total'!$C$2=0,"",'Flujo de producto'!C26*'Throughput Total'!$C$2)</f>
        <v/>
      </c>
      <c r="D26" s="69" t="str">
        <f>IF('Flujo de producto'!D26*'Throughput Total'!$C$2=0,"",'Flujo de producto'!D26*'Throughput Total'!$C$2)</f>
        <v/>
      </c>
      <c r="E26" s="69" t="str">
        <f>IF('Flujo de producto'!E26*'Throughput Total'!$C$2=0,"",'Flujo de producto'!E26*'Throughput Total'!$C$2)</f>
        <v/>
      </c>
      <c r="F26" s="69" t="str">
        <f>IF('Flujo de producto'!F26*'Throughput Total'!$C$2=0,"",'Flujo de producto'!F26*'Throughput Total'!$C$2)</f>
        <v/>
      </c>
      <c r="G26" s="69" t="str">
        <f>IF('Flujo de producto'!G26*'Throughput Total'!$C$2=0,"",'Flujo de producto'!G26*'Throughput Total'!$C$2)</f>
        <v/>
      </c>
      <c r="H26" s="69" t="str">
        <f>IF('Flujo de producto'!H26*'Throughput Total'!$C$2=0,"",'Flujo de producto'!H26*'Throughput Total'!$C$2)</f>
        <v/>
      </c>
      <c r="I26" s="69" t="str">
        <f>IF('Flujo de producto'!I26*'Throughput Total'!$C$2=0,"",'Flujo de producto'!I26*'Throughput Total'!$C$2)</f>
        <v/>
      </c>
      <c r="J26" s="69" t="str">
        <f>IF('Flujo de producto'!J26*'Throughput Total'!$C$2=0,"",'Flujo de producto'!J26*'Throughput Total'!$C$2)</f>
        <v/>
      </c>
      <c r="K26" s="69" t="str">
        <f>IF('Flujo de producto'!K26*'Throughput Total'!$C$2=0,"",'Flujo de producto'!K26*'Throughput Total'!$C$2)</f>
        <v/>
      </c>
      <c r="L26" s="69" t="str">
        <f>IF('Flujo de producto'!L26*'Throughput Total'!$C$2=0,"",'Flujo de producto'!L26*'Throughput Total'!$C$2)</f>
        <v/>
      </c>
      <c r="M26" s="69" t="str">
        <f>IF('Flujo de producto'!M26*'Throughput Total'!$C$2=0,"",'Flujo de producto'!M26*'Throughput Total'!$C$2)</f>
        <v/>
      </c>
      <c r="N26" s="69" t="str">
        <f>IF('Flujo de producto'!N26*'Throughput Total'!$C$2=0,"",'Flujo de producto'!N26*'Throughput Total'!$C$2)</f>
        <v/>
      </c>
      <c r="O26" s="69" t="str">
        <f>IF('Flujo de producto'!O26*'Throughput Total'!$C$2=0,"",'Flujo de producto'!O26*'Throughput Total'!$C$2)</f>
        <v/>
      </c>
      <c r="P26" s="69" t="str">
        <f>IF('Flujo de producto'!P26*'Throughput Total'!$C$2=0,"",'Flujo de producto'!P26*'Throughput Total'!$C$2)</f>
        <v/>
      </c>
      <c r="Q26" s="69" t="str">
        <f>IF('Flujo de producto'!Q26*'Throughput Total'!$C$2=0,"",'Flujo de producto'!Q26*'Throughput Total'!$C$2)</f>
        <v/>
      </c>
      <c r="R26" s="69" t="str">
        <f>IF('Flujo de producto'!R26*'Throughput Total'!$C$2=0,"",'Flujo de producto'!R26*'Throughput Total'!$C$2)</f>
        <v/>
      </c>
      <c r="S26" s="69" t="str">
        <f>IF('Flujo de producto'!S26*'Throughput Total'!$C$2=0,"",'Flujo de producto'!S26*'Throughput Total'!$C$2)</f>
        <v/>
      </c>
      <c r="T26" s="69" t="str">
        <f>IF('Flujo de producto'!T26*'Throughput Total'!$C$2=0,"",'Flujo de producto'!T26*'Throughput Total'!$C$2)</f>
        <v/>
      </c>
      <c r="U26" s="69" t="str">
        <f>IF('Flujo de producto'!U26*'Throughput Total'!$C$2=0,"",'Flujo de producto'!U26*'Throughput Total'!$C$2)</f>
        <v/>
      </c>
      <c r="V26" s="69" t="str">
        <f>IF('Flujo de producto'!V26*'Throughput Total'!$C$2=0,"",'Flujo de producto'!V26*'Throughput Total'!$C$2)</f>
        <v/>
      </c>
    </row>
    <row r="27" spans="2:22" x14ac:dyDescent="0.25">
      <c r="B27" s="48" t="str">
        <f>IF(Servidores!C19="","",Servidores!C19)</f>
        <v/>
      </c>
      <c r="C27" s="69" t="str">
        <f>IF('Flujo de producto'!C27*'Throughput Total'!$C$2=0,"",'Flujo de producto'!C27*'Throughput Total'!$C$2)</f>
        <v/>
      </c>
      <c r="D27" s="69" t="str">
        <f>IF('Flujo de producto'!D27*'Throughput Total'!$C$2=0,"",'Flujo de producto'!D27*'Throughput Total'!$C$2)</f>
        <v/>
      </c>
      <c r="E27" s="69" t="str">
        <f>IF('Flujo de producto'!E27*'Throughput Total'!$C$2=0,"",'Flujo de producto'!E27*'Throughput Total'!$C$2)</f>
        <v/>
      </c>
      <c r="F27" s="69" t="str">
        <f>IF('Flujo de producto'!F27*'Throughput Total'!$C$2=0,"",'Flujo de producto'!F27*'Throughput Total'!$C$2)</f>
        <v/>
      </c>
      <c r="G27" s="69" t="str">
        <f>IF('Flujo de producto'!G27*'Throughput Total'!$C$2=0,"",'Flujo de producto'!G27*'Throughput Total'!$C$2)</f>
        <v/>
      </c>
      <c r="H27" s="69" t="str">
        <f>IF('Flujo de producto'!H27*'Throughput Total'!$C$2=0,"",'Flujo de producto'!H27*'Throughput Total'!$C$2)</f>
        <v/>
      </c>
      <c r="I27" s="69" t="str">
        <f>IF('Flujo de producto'!I27*'Throughput Total'!$C$2=0,"",'Flujo de producto'!I27*'Throughput Total'!$C$2)</f>
        <v/>
      </c>
      <c r="J27" s="69" t="str">
        <f>IF('Flujo de producto'!J27*'Throughput Total'!$C$2=0,"",'Flujo de producto'!J27*'Throughput Total'!$C$2)</f>
        <v/>
      </c>
      <c r="K27" s="69" t="str">
        <f>IF('Flujo de producto'!K27*'Throughput Total'!$C$2=0,"",'Flujo de producto'!K27*'Throughput Total'!$C$2)</f>
        <v/>
      </c>
      <c r="L27" s="69" t="str">
        <f>IF('Flujo de producto'!L27*'Throughput Total'!$C$2=0,"",'Flujo de producto'!L27*'Throughput Total'!$C$2)</f>
        <v/>
      </c>
      <c r="M27" s="69" t="str">
        <f>IF('Flujo de producto'!M27*'Throughput Total'!$C$2=0,"",'Flujo de producto'!M27*'Throughput Total'!$C$2)</f>
        <v/>
      </c>
      <c r="N27" s="69" t="str">
        <f>IF('Flujo de producto'!N27*'Throughput Total'!$C$2=0,"",'Flujo de producto'!N27*'Throughput Total'!$C$2)</f>
        <v/>
      </c>
      <c r="O27" s="69" t="str">
        <f>IF('Flujo de producto'!O27*'Throughput Total'!$C$2=0,"",'Flujo de producto'!O27*'Throughput Total'!$C$2)</f>
        <v/>
      </c>
      <c r="P27" s="69" t="str">
        <f>IF('Flujo de producto'!P27*'Throughput Total'!$C$2=0,"",'Flujo de producto'!P27*'Throughput Total'!$C$2)</f>
        <v/>
      </c>
      <c r="Q27" s="69" t="str">
        <f>IF('Flujo de producto'!Q27*'Throughput Total'!$C$2=0,"",'Flujo de producto'!Q27*'Throughput Total'!$C$2)</f>
        <v/>
      </c>
      <c r="R27" s="69" t="str">
        <f>IF('Flujo de producto'!R27*'Throughput Total'!$C$2=0,"",'Flujo de producto'!R27*'Throughput Total'!$C$2)</f>
        <v/>
      </c>
      <c r="S27" s="69" t="str">
        <f>IF('Flujo de producto'!S27*'Throughput Total'!$C$2=0,"",'Flujo de producto'!S27*'Throughput Total'!$C$2)</f>
        <v/>
      </c>
      <c r="T27" s="69" t="str">
        <f>IF('Flujo de producto'!T27*'Throughput Total'!$C$2=0,"",'Flujo de producto'!T27*'Throughput Total'!$C$2)</f>
        <v/>
      </c>
      <c r="U27" s="69" t="str">
        <f>IF('Flujo de producto'!U27*'Throughput Total'!$C$2=0,"",'Flujo de producto'!U27*'Throughput Total'!$C$2)</f>
        <v/>
      </c>
      <c r="V27" s="69" t="str">
        <f>IF('Flujo de producto'!V27*'Throughput Total'!$C$2=0,"",'Flujo de producto'!V27*'Throughput Total'!$C$2)</f>
        <v/>
      </c>
    </row>
    <row r="28" spans="2:22" x14ac:dyDescent="0.25">
      <c r="B28" s="48" t="str">
        <f>IF(Servidores!C20="","",Servidores!C20)</f>
        <v/>
      </c>
      <c r="C28" s="69" t="str">
        <f>IF('Flujo de producto'!C28*'Throughput Total'!$C$2=0,"",'Flujo de producto'!C28*'Throughput Total'!$C$2)</f>
        <v/>
      </c>
      <c r="D28" s="69" t="str">
        <f>IF('Flujo de producto'!D28*'Throughput Total'!$C$2=0,"",'Flujo de producto'!D28*'Throughput Total'!$C$2)</f>
        <v/>
      </c>
      <c r="E28" s="69" t="str">
        <f>IF('Flujo de producto'!E28*'Throughput Total'!$C$2=0,"",'Flujo de producto'!E28*'Throughput Total'!$C$2)</f>
        <v/>
      </c>
      <c r="F28" s="69" t="str">
        <f>IF('Flujo de producto'!F28*'Throughput Total'!$C$2=0,"",'Flujo de producto'!F28*'Throughput Total'!$C$2)</f>
        <v/>
      </c>
      <c r="G28" s="69" t="str">
        <f>IF('Flujo de producto'!G28*'Throughput Total'!$C$2=0,"",'Flujo de producto'!G28*'Throughput Total'!$C$2)</f>
        <v/>
      </c>
      <c r="H28" s="69" t="str">
        <f>IF('Flujo de producto'!H28*'Throughput Total'!$C$2=0,"",'Flujo de producto'!H28*'Throughput Total'!$C$2)</f>
        <v/>
      </c>
      <c r="I28" s="69" t="str">
        <f>IF('Flujo de producto'!I28*'Throughput Total'!$C$2=0,"",'Flujo de producto'!I28*'Throughput Total'!$C$2)</f>
        <v/>
      </c>
      <c r="J28" s="69" t="str">
        <f>IF('Flujo de producto'!J28*'Throughput Total'!$C$2=0,"",'Flujo de producto'!J28*'Throughput Total'!$C$2)</f>
        <v/>
      </c>
      <c r="K28" s="69" t="str">
        <f>IF('Flujo de producto'!K28*'Throughput Total'!$C$2=0,"",'Flujo de producto'!K28*'Throughput Total'!$C$2)</f>
        <v/>
      </c>
      <c r="L28" s="69" t="str">
        <f>IF('Flujo de producto'!L28*'Throughput Total'!$C$2=0,"",'Flujo de producto'!L28*'Throughput Total'!$C$2)</f>
        <v/>
      </c>
      <c r="M28" s="69" t="str">
        <f>IF('Flujo de producto'!M28*'Throughput Total'!$C$2=0,"",'Flujo de producto'!M28*'Throughput Total'!$C$2)</f>
        <v/>
      </c>
      <c r="N28" s="69" t="str">
        <f>IF('Flujo de producto'!N28*'Throughput Total'!$C$2=0,"",'Flujo de producto'!N28*'Throughput Total'!$C$2)</f>
        <v/>
      </c>
      <c r="O28" s="69" t="str">
        <f>IF('Flujo de producto'!O28*'Throughput Total'!$C$2=0,"",'Flujo de producto'!O28*'Throughput Total'!$C$2)</f>
        <v/>
      </c>
      <c r="P28" s="69" t="str">
        <f>IF('Flujo de producto'!P28*'Throughput Total'!$C$2=0,"",'Flujo de producto'!P28*'Throughput Total'!$C$2)</f>
        <v/>
      </c>
      <c r="Q28" s="69" t="str">
        <f>IF('Flujo de producto'!Q28*'Throughput Total'!$C$2=0,"",'Flujo de producto'!Q28*'Throughput Total'!$C$2)</f>
        <v/>
      </c>
      <c r="R28" s="69" t="str">
        <f>IF('Flujo de producto'!R28*'Throughput Total'!$C$2=0,"",'Flujo de producto'!R28*'Throughput Total'!$C$2)</f>
        <v/>
      </c>
      <c r="S28" s="69" t="str">
        <f>IF('Flujo de producto'!S28*'Throughput Total'!$C$2=0,"",'Flujo de producto'!S28*'Throughput Total'!$C$2)</f>
        <v/>
      </c>
      <c r="T28" s="69" t="str">
        <f>IF('Flujo de producto'!T28*'Throughput Total'!$C$2=0,"",'Flujo de producto'!T28*'Throughput Total'!$C$2)</f>
        <v/>
      </c>
      <c r="U28" s="69" t="str">
        <f>IF('Flujo de producto'!U28*'Throughput Total'!$C$2=0,"",'Flujo de producto'!U28*'Throughput Total'!$C$2)</f>
        <v/>
      </c>
      <c r="V28" s="69" t="str">
        <f>IF('Flujo de producto'!V28*'Throughput Total'!$C$2=0,"",'Flujo de producto'!V28*'Throughput Total'!$C$2)</f>
        <v/>
      </c>
    </row>
    <row r="29" spans="2:22" x14ac:dyDescent="0.25">
      <c r="B29" s="48" t="str">
        <f>IF(Servidores!C21="","",Servidores!C21)</f>
        <v/>
      </c>
      <c r="C29" s="69" t="str">
        <f>IF('Flujo de producto'!C29*'Throughput Total'!$C$2=0,"",'Flujo de producto'!C29*'Throughput Total'!$C$2)</f>
        <v/>
      </c>
      <c r="D29" s="69" t="str">
        <f>IF('Flujo de producto'!D29*'Throughput Total'!$C$2=0,"",'Flujo de producto'!D29*'Throughput Total'!$C$2)</f>
        <v/>
      </c>
      <c r="E29" s="69" t="str">
        <f>IF('Flujo de producto'!E29*'Throughput Total'!$C$2=0,"",'Flujo de producto'!E29*'Throughput Total'!$C$2)</f>
        <v/>
      </c>
      <c r="F29" s="69" t="str">
        <f>IF('Flujo de producto'!F29*'Throughput Total'!$C$2=0,"",'Flujo de producto'!F29*'Throughput Total'!$C$2)</f>
        <v/>
      </c>
      <c r="G29" s="69" t="str">
        <f>IF('Flujo de producto'!G29*'Throughput Total'!$C$2=0,"",'Flujo de producto'!G29*'Throughput Total'!$C$2)</f>
        <v/>
      </c>
      <c r="H29" s="69" t="str">
        <f>IF('Flujo de producto'!H29*'Throughput Total'!$C$2=0,"",'Flujo de producto'!H29*'Throughput Total'!$C$2)</f>
        <v/>
      </c>
      <c r="I29" s="69" t="str">
        <f>IF('Flujo de producto'!I29*'Throughput Total'!$C$2=0,"",'Flujo de producto'!I29*'Throughput Total'!$C$2)</f>
        <v/>
      </c>
      <c r="J29" s="69" t="str">
        <f>IF('Flujo de producto'!J29*'Throughput Total'!$C$2=0,"",'Flujo de producto'!J29*'Throughput Total'!$C$2)</f>
        <v/>
      </c>
      <c r="K29" s="69" t="str">
        <f>IF('Flujo de producto'!K29*'Throughput Total'!$C$2=0,"",'Flujo de producto'!K29*'Throughput Total'!$C$2)</f>
        <v/>
      </c>
      <c r="L29" s="69" t="str">
        <f>IF('Flujo de producto'!L29*'Throughput Total'!$C$2=0,"",'Flujo de producto'!L29*'Throughput Total'!$C$2)</f>
        <v/>
      </c>
      <c r="M29" s="69" t="str">
        <f>IF('Flujo de producto'!M29*'Throughput Total'!$C$2=0,"",'Flujo de producto'!M29*'Throughput Total'!$C$2)</f>
        <v/>
      </c>
      <c r="N29" s="69" t="str">
        <f>IF('Flujo de producto'!N29*'Throughput Total'!$C$2=0,"",'Flujo de producto'!N29*'Throughput Total'!$C$2)</f>
        <v/>
      </c>
      <c r="O29" s="69" t="str">
        <f>IF('Flujo de producto'!O29*'Throughput Total'!$C$2=0,"",'Flujo de producto'!O29*'Throughput Total'!$C$2)</f>
        <v/>
      </c>
      <c r="P29" s="69" t="str">
        <f>IF('Flujo de producto'!P29*'Throughput Total'!$C$2=0,"",'Flujo de producto'!P29*'Throughput Total'!$C$2)</f>
        <v/>
      </c>
      <c r="Q29" s="69" t="str">
        <f>IF('Flujo de producto'!Q29*'Throughput Total'!$C$2=0,"",'Flujo de producto'!Q29*'Throughput Total'!$C$2)</f>
        <v/>
      </c>
      <c r="R29" s="69" t="str">
        <f>IF('Flujo de producto'!R29*'Throughput Total'!$C$2=0,"",'Flujo de producto'!R29*'Throughput Total'!$C$2)</f>
        <v/>
      </c>
      <c r="S29" s="69" t="str">
        <f>IF('Flujo de producto'!S29*'Throughput Total'!$C$2=0,"",'Flujo de producto'!S29*'Throughput Total'!$C$2)</f>
        <v/>
      </c>
      <c r="T29" s="69" t="str">
        <f>IF('Flujo de producto'!T29*'Throughput Total'!$C$2=0,"",'Flujo de producto'!T29*'Throughput Total'!$C$2)</f>
        <v/>
      </c>
      <c r="U29" s="69" t="str">
        <f>IF('Flujo de producto'!U29*'Throughput Total'!$C$2=0,"",'Flujo de producto'!U29*'Throughput Total'!$C$2)</f>
        <v/>
      </c>
      <c r="V29" s="69" t="str">
        <f>IF('Flujo de producto'!V29*'Throughput Total'!$C$2=0,"",'Flujo de producto'!V29*'Throughput Total'!$C$2)</f>
        <v/>
      </c>
    </row>
    <row r="30" spans="2:22" x14ac:dyDescent="0.25">
      <c r="B30" s="48" t="str">
        <f>IF(Servidores!C22="","",Servidores!C22)</f>
        <v/>
      </c>
      <c r="C30" s="69" t="str">
        <f>IF('Flujo de producto'!C30*'Throughput Total'!$C$2=0,"",'Flujo de producto'!C30*'Throughput Total'!$C$2)</f>
        <v/>
      </c>
      <c r="D30" s="69" t="str">
        <f>IF('Flujo de producto'!D30*'Throughput Total'!$C$2=0,"",'Flujo de producto'!D30*'Throughput Total'!$C$2)</f>
        <v/>
      </c>
      <c r="E30" s="69" t="str">
        <f>IF('Flujo de producto'!E30*'Throughput Total'!$C$2=0,"",'Flujo de producto'!E30*'Throughput Total'!$C$2)</f>
        <v/>
      </c>
      <c r="F30" s="69" t="str">
        <f>IF('Flujo de producto'!F30*'Throughput Total'!$C$2=0,"",'Flujo de producto'!F30*'Throughput Total'!$C$2)</f>
        <v/>
      </c>
      <c r="G30" s="69" t="str">
        <f>IF('Flujo de producto'!G30*'Throughput Total'!$C$2=0,"",'Flujo de producto'!G30*'Throughput Total'!$C$2)</f>
        <v/>
      </c>
      <c r="H30" s="69" t="str">
        <f>IF('Flujo de producto'!H30*'Throughput Total'!$C$2=0,"",'Flujo de producto'!H30*'Throughput Total'!$C$2)</f>
        <v/>
      </c>
      <c r="I30" s="69" t="str">
        <f>IF('Flujo de producto'!I30*'Throughput Total'!$C$2=0,"",'Flujo de producto'!I30*'Throughput Total'!$C$2)</f>
        <v/>
      </c>
      <c r="J30" s="69" t="str">
        <f>IF('Flujo de producto'!J30*'Throughput Total'!$C$2=0,"",'Flujo de producto'!J30*'Throughput Total'!$C$2)</f>
        <v/>
      </c>
      <c r="K30" s="69" t="str">
        <f>IF('Flujo de producto'!K30*'Throughput Total'!$C$2=0,"",'Flujo de producto'!K30*'Throughput Total'!$C$2)</f>
        <v/>
      </c>
      <c r="L30" s="69" t="str">
        <f>IF('Flujo de producto'!L30*'Throughput Total'!$C$2=0,"",'Flujo de producto'!L30*'Throughput Total'!$C$2)</f>
        <v/>
      </c>
      <c r="M30" s="69" t="str">
        <f>IF('Flujo de producto'!M30*'Throughput Total'!$C$2=0,"",'Flujo de producto'!M30*'Throughput Total'!$C$2)</f>
        <v/>
      </c>
      <c r="N30" s="69" t="str">
        <f>IF('Flujo de producto'!N30*'Throughput Total'!$C$2=0,"",'Flujo de producto'!N30*'Throughput Total'!$C$2)</f>
        <v/>
      </c>
      <c r="O30" s="69" t="str">
        <f>IF('Flujo de producto'!O30*'Throughput Total'!$C$2=0,"",'Flujo de producto'!O30*'Throughput Total'!$C$2)</f>
        <v/>
      </c>
      <c r="P30" s="69" t="str">
        <f>IF('Flujo de producto'!P30*'Throughput Total'!$C$2=0,"",'Flujo de producto'!P30*'Throughput Total'!$C$2)</f>
        <v/>
      </c>
      <c r="Q30" s="69" t="str">
        <f>IF('Flujo de producto'!Q30*'Throughput Total'!$C$2=0,"",'Flujo de producto'!Q30*'Throughput Total'!$C$2)</f>
        <v/>
      </c>
      <c r="R30" s="69" t="str">
        <f>IF('Flujo de producto'!R30*'Throughput Total'!$C$2=0,"",'Flujo de producto'!R30*'Throughput Total'!$C$2)</f>
        <v/>
      </c>
      <c r="S30" s="69" t="str">
        <f>IF('Flujo de producto'!S30*'Throughput Total'!$C$2=0,"",'Flujo de producto'!S30*'Throughput Total'!$C$2)</f>
        <v/>
      </c>
      <c r="T30" s="69" t="str">
        <f>IF('Flujo de producto'!T30*'Throughput Total'!$C$2=0,"",'Flujo de producto'!T30*'Throughput Total'!$C$2)</f>
        <v/>
      </c>
      <c r="U30" s="69" t="str">
        <f>IF('Flujo de producto'!U30*'Throughput Total'!$C$2=0,"",'Flujo de producto'!U30*'Throughput Total'!$C$2)</f>
        <v/>
      </c>
      <c r="V30" s="69" t="str">
        <f>IF('Flujo de producto'!V30*'Throughput Total'!$C$2=0,"",'Flujo de producto'!V30*'Throughput Total'!$C$2)</f>
        <v/>
      </c>
    </row>
  </sheetData>
  <mergeCells count="3">
    <mergeCell ref="A1:D1"/>
    <mergeCell ref="E1:F1"/>
    <mergeCell ref="A2:D8"/>
  </mergeCells>
  <conditionalFormatting sqref="C11:V30">
    <cfRule type="cellIs" dxfId="18" priority="1" operator="between">
      <formula>$G$3</formula>
      <formula>$H$3</formula>
    </cfRule>
    <cfRule type="cellIs" dxfId="17" priority="2" operator="between">
      <formula>$G$4</formula>
      <formula>$H$4</formula>
    </cfRule>
    <cfRule type="cellIs" dxfId="16" priority="3" operator="between">
      <formula>$G$5</formula>
      <formula>$H$5</formula>
    </cfRule>
    <cfRule type="cellIs" dxfId="15" priority="4" operator="between">
      <formula>$G$6</formula>
      <formula>$H$6</formula>
    </cfRule>
    <cfRule type="cellIs" dxfId="14" priority="5" operator="between">
      <formula>$G$7</formula>
      <formula>$H$7</formula>
    </cfRule>
    <cfRule type="cellIs" dxfId="13" priority="6" operator="between">
      <formula>$G$8</formula>
      <formula>$H$8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0070C0"/>
  </sheetPr>
  <dimension ref="A1:XFD32"/>
  <sheetViews>
    <sheetView showGridLines="0" workbookViewId="0">
      <selection activeCell="A2" sqref="A2:D8"/>
    </sheetView>
  </sheetViews>
  <sheetFormatPr baseColWidth="10" defaultRowHeight="15" x14ac:dyDescent="0.25"/>
  <cols>
    <col min="1" max="1" width="2.140625" customWidth="1"/>
    <col min="2" max="3" width="20.28515625" customWidth="1"/>
    <col min="4" max="4" width="20.5703125" customWidth="1"/>
    <col min="5" max="24" width="20.28515625" customWidth="1"/>
  </cols>
  <sheetData>
    <row r="1" spans="1:16384" s="12" customFormat="1" ht="3.75" customHeight="1" x14ac:dyDescent="0.2">
      <c r="A1" s="155"/>
      <c r="B1" s="155"/>
      <c r="C1" s="155"/>
      <c r="D1" s="155"/>
      <c r="E1" s="155"/>
      <c r="F1" s="155"/>
      <c r="G1" s="10"/>
      <c r="H1" s="11"/>
      <c r="I1" s="10"/>
      <c r="J1" s="11"/>
    </row>
    <row r="2" spans="1:16384" s="12" customFormat="1" ht="12.75" customHeight="1" x14ac:dyDescent="0.2">
      <c r="A2" s="155"/>
      <c r="B2" s="155"/>
      <c r="C2" s="155"/>
      <c r="D2" s="155"/>
      <c r="E2" s="30"/>
      <c r="F2" s="53" t="s">
        <v>208</v>
      </c>
      <c r="G2" s="54" t="s">
        <v>100</v>
      </c>
      <c r="H2" s="54" t="s">
        <v>101</v>
      </c>
      <c r="J2" s="52" t="s">
        <v>209</v>
      </c>
    </row>
    <row r="3" spans="1:16384" s="12" customFormat="1" ht="11.25" customHeight="1" x14ac:dyDescent="0.2">
      <c r="A3" s="155"/>
      <c r="B3" s="155"/>
      <c r="C3" s="155"/>
      <c r="D3" s="155"/>
      <c r="E3" s="30"/>
      <c r="F3" s="50" t="s">
        <v>210</v>
      </c>
      <c r="G3" s="114">
        <v>0</v>
      </c>
      <c r="H3" s="114">
        <v>0</v>
      </c>
      <c r="J3" s="121">
        <f ca="1">MAX(E13:X32)</f>
        <v>21.79</v>
      </c>
    </row>
    <row r="4" spans="1:16384" s="12" customFormat="1" ht="11.25" customHeight="1" x14ac:dyDescent="0.2">
      <c r="A4" s="155"/>
      <c r="B4" s="155"/>
      <c r="C4" s="155"/>
      <c r="D4" s="155"/>
      <c r="E4" s="30"/>
      <c r="F4" s="50" t="s">
        <v>211</v>
      </c>
      <c r="G4" s="115">
        <f ca="1">IF(J3=0,0,0.01)</f>
        <v>0.01</v>
      </c>
      <c r="H4" s="115">
        <f ca="1">0.2*$J$3</f>
        <v>4.3579999999999997</v>
      </c>
      <c r="I4" s="10"/>
      <c r="J4" s="11"/>
    </row>
    <row r="5" spans="1:16384" s="12" customFormat="1" ht="11.25" customHeight="1" x14ac:dyDescent="0.2">
      <c r="A5" s="155"/>
      <c r="B5" s="155"/>
      <c r="C5" s="155"/>
      <c r="D5" s="155"/>
      <c r="E5" s="30"/>
      <c r="F5" s="50" t="s">
        <v>212</v>
      </c>
      <c r="G5" s="116">
        <f ca="1">IF(J3=0,0,J3*0.2+0.01)</f>
        <v>4.3679999999999994</v>
      </c>
      <c r="H5" s="116">
        <f ca="1">0.4*$J$3</f>
        <v>8.7159999999999993</v>
      </c>
      <c r="I5" s="10"/>
      <c r="J5" s="11"/>
    </row>
    <row r="6" spans="1:16384" s="12" customFormat="1" ht="11.25" customHeight="1" x14ac:dyDescent="0.2">
      <c r="A6" s="155"/>
      <c r="B6" s="155"/>
      <c r="C6" s="155"/>
      <c r="D6" s="155"/>
      <c r="E6" s="30"/>
      <c r="F6" s="50" t="s">
        <v>213</v>
      </c>
      <c r="G6" s="117">
        <f ca="1">IF(J3=0,0,J3*0.4+0.01)</f>
        <v>8.7259999999999991</v>
      </c>
      <c r="H6" s="117">
        <f ca="1">0.6*$J$3</f>
        <v>13.074</v>
      </c>
      <c r="I6" s="10"/>
      <c r="J6" s="11"/>
    </row>
    <row r="7" spans="1:16384" s="12" customFormat="1" ht="11.25" customHeight="1" x14ac:dyDescent="0.2">
      <c r="A7" s="155"/>
      <c r="B7" s="155"/>
      <c r="C7" s="155"/>
      <c r="D7" s="155"/>
      <c r="E7" s="30"/>
      <c r="F7" s="50" t="s">
        <v>214</v>
      </c>
      <c r="G7" s="118">
        <f ca="1">IF(J3=0,0,J3*0.6+0.01)</f>
        <v>13.084</v>
      </c>
      <c r="H7" s="118">
        <f ca="1">0.8*$J$3</f>
        <v>17.431999999999999</v>
      </c>
      <c r="I7" s="10"/>
      <c r="J7" s="11"/>
    </row>
    <row r="8" spans="1:16384" s="12" customFormat="1" ht="11.25" customHeight="1" x14ac:dyDescent="0.2">
      <c r="A8" s="155"/>
      <c r="B8" s="155"/>
      <c r="C8" s="155"/>
      <c r="D8" s="155"/>
      <c r="E8" s="30"/>
      <c r="F8" s="50" t="s">
        <v>215</v>
      </c>
      <c r="G8" s="119">
        <f ca="1">IF(J3=0,0,J3*0.8+0.01)</f>
        <v>17.442</v>
      </c>
      <c r="H8" s="119">
        <f ca="1">1*$J$3</f>
        <v>21.79</v>
      </c>
      <c r="I8" s="10"/>
      <c r="J8" s="11"/>
    </row>
    <row r="9" spans="1:16384" s="12" customFormat="1" ht="3.75" customHeight="1" x14ac:dyDescent="0.2">
      <c r="A9" s="30"/>
      <c r="B9" s="30"/>
      <c r="C9" s="30"/>
      <c r="D9" s="30"/>
      <c r="E9" s="30"/>
      <c r="F9" s="30"/>
      <c r="G9" s="10"/>
      <c r="H9" s="11"/>
      <c r="I9" s="10"/>
      <c r="J9" s="11"/>
    </row>
    <row r="10" spans="1:16384" s="12" customFormat="1" ht="15" customHeight="1" x14ac:dyDescent="0.25">
      <c r="A10"/>
      <c r="B10"/>
      <c r="C10"/>
      <c r="D10" s="107" t="s">
        <v>206</v>
      </c>
      <c r="E10" s="33">
        <f ca="1">IFERROR(HLOOKUP(E$12,'Layout solución (individuo AG)'!$F$10:$Y$25,15,FALSE),"")</f>
        <v>4.8499999999999996</v>
      </c>
      <c r="F10" s="33">
        <f ca="1">IFERROR(HLOOKUP(F$12,'Layout solución (individuo AG)'!$F$10:$Y$25,15,FALSE),"")</f>
        <v>12.16</v>
      </c>
      <c r="G10" s="33">
        <f ca="1">IFERROR(HLOOKUP(G$12,'Layout solución (individuo AG)'!$F$10:$Y$25,15,FALSE),"")</f>
        <v>3.4499999999999997</v>
      </c>
      <c r="H10" s="33">
        <f ca="1">IFERROR(HLOOKUP(H$12,'Layout solución (individuo AG)'!$F$10:$Y$25,15,FALSE),"")</f>
        <v>3.7549999999999999</v>
      </c>
      <c r="I10" s="33">
        <f ca="1">IFERROR(HLOOKUP(I$12,'Layout solución (individuo AG)'!$F$10:$Y$25,15,FALSE),"")</f>
        <v>8.43</v>
      </c>
      <c r="J10" s="33">
        <f ca="1">IFERROR(HLOOKUP(J$12,'Layout solución (individuo AG)'!$F$10:$Y$25,15,FALSE),"")</f>
        <v>9.9899999999999984</v>
      </c>
      <c r="K10" s="33">
        <f ca="1">IFERROR(HLOOKUP(K$12,'Layout solución (individuo AG)'!$F$10:$Y$25,15,FALSE),"")</f>
        <v>9.9899999999999984</v>
      </c>
      <c r="L10" s="33">
        <f ca="1">IFERROR(HLOOKUP(L$12,'Layout solución (individuo AG)'!$F$10:$Y$25,15,FALSE),"")</f>
        <v>9.9399999999999977</v>
      </c>
      <c r="M10" s="33" t="str">
        <f ca="1">IFERROR(HLOOKUP(M$12,'Layout solución (individuo AG)'!$F$10:$Y$25,15,FALSE),"")</f>
        <v/>
      </c>
      <c r="N10" s="33" t="str">
        <f ca="1">IFERROR(HLOOKUP(N$12,'Layout solución (individuo AG)'!$F$10:$Y$25,15,FALSE),"")</f>
        <v/>
      </c>
      <c r="O10" s="33" t="str">
        <f ca="1">IFERROR(HLOOKUP(O$12,'Layout solución (individuo AG)'!$F$10:$Y$25,15,FALSE),"")</f>
        <v/>
      </c>
      <c r="P10" s="33" t="str">
        <f ca="1">IFERROR(HLOOKUP(P$12,'Layout solución (individuo AG)'!$F$10:$Y$25,15,FALSE),"")</f>
        <v/>
      </c>
      <c r="Q10" s="33" t="str">
        <f ca="1">IFERROR(HLOOKUP(Q$12,'Layout solución (individuo AG)'!$F$10:$Y$25,15,FALSE),"")</f>
        <v/>
      </c>
      <c r="R10" s="33" t="str">
        <f ca="1">IFERROR(HLOOKUP(R$12,'Layout solución (individuo AG)'!$F$10:$Y$25,15,FALSE),"")</f>
        <v/>
      </c>
      <c r="S10" s="33" t="str">
        <f ca="1">IFERROR(HLOOKUP(S$12,'Layout solución (individuo AG)'!$F$10:$Y$25,15,FALSE),"")</f>
        <v/>
      </c>
      <c r="T10" s="33" t="str">
        <f ca="1">IFERROR(HLOOKUP(T$12,'Layout solución (individuo AG)'!$F$10:$Y$25,15,FALSE),"")</f>
        <v/>
      </c>
      <c r="U10" s="33" t="str">
        <f ca="1">IFERROR(HLOOKUP(U$12,'Layout solución (individuo AG)'!$F$10:$Y$25,15,FALSE),"")</f>
        <v/>
      </c>
      <c r="V10" s="33" t="str">
        <f ca="1">IFERROR(HLOOKUP(V$12,'Layout solución (individuo AG)'!$F$10:$Y$25,15,FALSE),"")</f>
        <v/>
      </c>
      <c r="W10" s="33" t="str">
        <f ca="1">IFERROR(HLOOKUP(W$12,'Layout solución (individuo AG)'!$F$10:$Y$25,15,FALSE),"")</f>
        <v/>
      </c>
      <c r="X10" s="33" t="str">
        <f ca="1">IFERROR(HLOOKUP(X$12,'Layout solución (individuo AG)'!$F$10:$Y$25,15,FALSE),"")</f>
        <v/>
      </c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  <c r="XFD10"/>
    </row>
    <row r="11" spans="1:16384" s="12" customFormat="1" ht="15" customHeight="1" x14ac:dyDescent="0.25">
      <c r="A11"/>
      <c r="B11"/>
      <c r="C11"/>
      <c r="D11" s="107" t="s">
        <v>207</v>
      </c>
      <c r="E11" s="33">
        <f ca="1">IFERROR(HLOOKUP(E$12,'Layout solución (individuo AG)'!$F$10:$Y$25,16,FALSE),"")</f>
        <v>3.6399999999999997</v>
      </c>
      <c r="F11" s="33">
        <f ca="1">IFERROR(HLOOKUP(F$12,'Layout solución (individuo AG)'!$F$10:$Y$25,16,FALSE),"")</f>
        <v>3.2549999999999999</v>
      </c>
      <c r="G11" s="33">
        <f ca="1">IFERROR(HLOOKUP(G$12,'Layout solución (individuo AG)'!$F$10:$Y$25,16,FALSE),"")</f>
        <v>10.27</v>
      </c>
      <c r="H11" s="33">
        <f ca="1">IFERROR(HLOOKUP(H$12,'Layout solución (individuo AG)'!$F$10:$Y$25,16,FALSE),"")</f>
        <v>16.639999999999997</v>
      </c>
      <c r="I11" s="33">
        <f ca="1">IFERROR(HLOOKUP(I$12,'Layout solución (individuo AG)'!$F$10:$Y$25,16,FALSE),"")</f>
        <v>15.799999999999999</v>
      </c>
      <c r="J11" s="33">
        <f ca="1">IFERROR(HLOOKUP(J$12,'Layout solución (individuo AG)'!$F$10:$Y$25,16,FALSE),"")</f>
        <v>8.68</v>
      </c>
      <c r="K11" s="33">
        <f ca="1">IFERROR(HLOOKUP(K$12,'Layout solución (individuo AG)'!$F$10:$Y$25,16,FALSE),"")</f>
        <v>12.75</v>
      </c>
      <c r="L11" s="33">
        <f ca="1">IFERROR(HLOOKUP(L$12,'Layout solución (individuo AG)'!$F$10:$Y$25,16,FALSE),"")</f>
        <v>19.61</v>
      </c>
      <c r="M11" s="33" t="str">
        <f ca="1">IFERROR(HLOOKUP(M$12,'Layout solución (individuo AG)'!$F$10:$Y$25,16,FALSE),"")</f>
        <v/>
      </c>
      <c r="N11" s="33" t="str">
        <f ca="1">IFERROR(HLOOKUP(N$12,'Layout solución (individuo AG)'!$F$10:$Y$25,16,FALSE),"")</f>
        <v/>
      </c>
      <c r="O11" s="33" t="str">
        <f ca="1">IFERROR(HLOOKUP(O$12,'Layout solución (individuo AG)'!$F$10:$Y$25,16,FALSE),"")</f>
        <v/>
      </c>
      <c r="P11" s="33" t="str">
        <f ca="1">IFERROR(HLOOKUP(P$12,'Layout solución (individuo AG)'!$F$10:$Y$25,16,FALSE),"")</f>
        <v/>
      </c>
      <c r="Q11" s="33" t="str">
        <f ca="1">IFERROR(HLOOKUP(Q$12,'Layout solución (individuo AG)'!$F$10:$Y$25,16,FALSE),"")</f>
        <v/>
      </c>
      <c r="R11" s="33" t="str">
        <f ca="1">IFERROR(HLOOKUP(R$12,'Layout solución (individuo AG)'!$F$10:$Y$25,16,FALSE),"")</f>
        <v/>
      </c>
      <c r="S11" s="33" t="str">
        <f ca="1">IFERROR(HLOOKUP(S$12,'Layout solución (individuo AG)'!$F$10:$Y$25,16,FALSE),"")</f>
        <v/>
      </c>
      <c r="T11" s="33" t="str">
        <f ca="1">IFERROR(HLOOKUP(T$12,'Layout solución (individuo AG)'!$F$10:$Y$25,16,FALSE),"")</f>
        <v/>
      </c>
      <c r="U11" s="33" t="str">
        <f ca="1">IFERROR(HLOOKUP(U$12,'Layout solución (individuo AG)'!$F$10:$Y$25,16,FALSE),"")</f>
        <v/>
      </c>
      <c r="V11" s="33" t="str">
        <f ca="1">IFERROR(HLOOKUP(V$12,'Layout solución (individuo AG)'!$F$10:$Y$25,16,FALSE),"")</f>
        <v/>
      </c>
      <c r="W11" s="33" t="str">
        <f ca="1">IFERROR(HLOOKUP(W$12,'Layout solución (individuo AG)'!$F$10:$Y$25,16,FALSE),"")</f>
        <v/>
      </c>
      <c r="X11" s="33" t="str">
        <f ca="1">IFERROR(HLOOKUP(X$12,'Layout solución (individuo AG)'!$F$10:$Y$25,16,FALSE),"")</f>
        <v/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  <c r="XFD11"/>
    </row>
    <row r="12" spans="1:16384" x14ac:dyDescent="0.25">
      <c r="B12" s="107" t="s">
        <v>206</v>
      </c>
      <c r="C12" s="107" t="s">
        <v>207</v>
      </c>
      <c r="D12" s="13" t="s">
        <v>111</v>
      </c>
      <c r="E12" s="49" t="str">
        <f ca="1">OFFSET($D$12,COLUMN(E12)-4,0)</f>
        <v>Estación torneado</v>
      </c>
      <c r="F12" s="49" t="str">
        <f t="shared" ref="F12:X12" ca="1" si="0">OFFSET($D$12,COLUMN(F12)-4,0)</f>
        <v>Estación pulido</v>
      </c>
      <c r="G12" s="49" t="str">
        <f t="shared" ca="1" si="0"/>
        <v>Estación fresado</v>
      </c>
      <c r="H12" s="49" t="str">
        <f t="shared" ca="1" si="0"/>
        <v>Estación limado</v>
      </c>
      <c r="I12" s="49" t="str">
        <f t="shared" ca="1" si="0"/>
        <v>Estación empaque</v>
      </c>
      <c r="J12" s="49" t="str">
        <f t="shared" ca="1" si="0"/>
        <v>Bodega materia prima</v>
      </c>
      <c r="K12" s="49" t="str">
        <f t="shared" ca="1" si="0"/>
        <v>Bodega producto terminado</v>
      </c>
      <c r="L12" s="49" t="str">
        <f t="shared" ca="1" si="0"/>
        <v>Estación inspección</v>
      </c>
      <c r="M12" s="49" t="str">
        <f t="shared" ca="1" si="0"/>
        <v>Estación reproceso</v>
      </c>
      <c r="N12" s="49" t="str">
        <f t="shared" ca="1" si="0"/>
        <v/>
      </c>
      <c r="O12" s="49" t="str">
        <f t="shared" ca="1" si="0"/>
        <v/>
      </c>
      <c r="P12" s="49" t="str">
        <f t="shared" ca="1" si="0"/>
        <v/>
      </c>
      <c r="Q12" s="49" t="str">
        <f t="shared" ca="1" si="0"/>
        <v/>
      </c>
      <c r="R12" s="49" t="str">
        <f t="shared" ca="1" si="0"/>
        <v/>
      </c>
      <c r="S12" s="49" t="str">
        <f t="shared" ca="1" si="0"/>
        <v/>
      </c>
      <c r="T12" s="49" t="str">
        <f t="shared" ca="1" si="0"/>
        <v/>
      </c>
      <c r="U12" s="49" t="str">
        <f t="shared" ca="1" si="0"/>
        <v/>
      </c>
      <c r="V12" s="49" t="str">
        <f t="shared" ca="1" si="0"/>
        <v/>
      </c>
      <c r="W12" s="49" t="str">
        <f t="shared" ca="1" si="0"/>
        <v/>
      </c>
      <c r="X12" s="49" t="str">
        <f t="shared" ca="1" si="0"/>
        <v/>
      </c>
    </row>
    <row r="13" spans="1:16384" x14ac:dyDescent="0.25">
      <c r="B13" s="33">
        <f>IFERROR(HLOOKUP($D13,'Layout solución (individuo AG)'!$F$10:$Y$25,15,FALSE),"")</f>
        <v>4.8499999999999996</v>
      </c>
      <c r="C13" s="33">
        <f>IFERROR(HLOOKUP($D13,'Layout solución (individuo AG)'!$F$10:$Y$25,16,FALSE),"")</f>
        <v>3.6399999999999997</v>
      </c>
      <c r="D13" s="48" t="str">
        <f>IF(Servidores!C3="","",Servidores!C3)</f>
        <v>Estación torneado</v>
      </c>
      <c r="E13" s="120">
        <f t="shared" ref="E13:E29" ca="1" si="1">IFERROR(ABS($B13-E$10)+ABS($C13-E$11),"")</f>
        <v>0</v>
      </c>
      <c r="F13" s="120">
        <f t="shared" ref="F13:U28" ca="1" si="2">IFERROR(ABS($B13-F$10)+ABS($C13-F$11),"")</f>
        <v>7.6950000000000003</v>
      </c>
      <c r="G13" s="120">
        <f t="shared" ca="1" si="2"/>
        <v>8.0299999999999994</v>
      </c>
      <c r="H13" s="120">
        <f t="shared" ca="1" si="2"/>
        <v>14.094999999999995</v>
      </c>
      <c r="I13" s="120">
        <f t="shared" ca="1" si="2"/>
        <v>15.74</v>
      </c>
      <c r="J13" s="120">
        <f t="shared" ca="1" si="2"/>
        <v>10.18</v>
      </c>
      <c r="K13" s="120">
        <f t="shared" ca="1" si="2"/>
        <v>14.249999999999998</v>
      </c>
      <c r="L13" s="120">
        <f t="shared" ca="1" si="2"/>
        <v>21.059999999999995</v>
      </c>
      <c r="M13" s="120" t="str">
        <f t="shared" ca="1" si="2"/>
        <v/>
      </c>
      <c r="N13" s="120" t="str">
        <f t="shared" ca="1" si="2"/>
        <v/>
      </c>
      <c r="O13" s="120" t="str">
        <f t="shared" ca="1" si="2"/>
        <v/>
      </c>
      <c r="P13" s="120" t="str">
        <f t="shared" ca="1" si="2"/>
        <v/>
      </c>
      <c r="Q13" s="120" t="str">
        <f t="shared" ca="1" si="2"/>
        <v/>
      </c>
      <c r="R13" s="120" t="str">
        <f t="shared" ca="1" si="2"/>
        <v/>
      </c>
      <c r="S13" s="120" t="str">
        <f t="shared" ca="1" si="2"/>
        <v/>
      </c>
      <c r="T13" s="120" t="str">
        <f t="shared" ca="1" si="2"/>
        <v/>
      </c>
      <c r="U13" s="120" t="str">
        <f t="shared" ca="1" si="2"/>
        <v/>
      </c>
      <c r="V13" s="120" t="str">
        <f t="shared" ref="V13:X32" ca="1" si="3">IFERROR(ABS($B13-V$10)+ABS($C13-V$11),"")</f>
        <v/>
      </c>
      <c r="W13" s="120" t="str">
        <f t="shared" ca="1" si="3"/>
        <v/>
      </c>
      <c r="X13" s="120" t="str">
        <f t="shared" ca="1" si="3"/>
        <v/>
      </c>
    </row>
    <row r="14" spans="1:16384" x14ac:dyDescent="0.25">
      <c r="B14" s="33">
        <f>IFERROR(HLOOKUP($D14,'Layout solución (individuo AG)'!$F$10:$Y$25,15,FALSE),"")</f>
        <v>12.16</v>
      </c>
      <c r="C14" s="33">
        <f>IFERROR(HLOOKUP($D14,'Layout solución (individuo AG)'!$F$10:$Y$25,16,FALSE),"")</f>
        <v>3.2549999999999999</v>
      </c>
      <c r="D14" s="48" t="str">
        <f>IF(Servidores!C4="","",Servidores!C4)</f>
        <v>Estación pulido</v>
      </c>
      <c r="E14" s="120">
        <f t="shared" ca="1" si="1"/>
        <v>7.6950000000000003</v>
      </c>
      <c r="F14" s="120">
        <f t="shared" ca="1" si="2"/>
        <v>0</v>
      </c>
      <c r="G14" s="120">
        <f t="shared" ca="1" si="2"/>
        <v>15.725000000000001</v>
      </c>
      <c r="H14" s="120">
        <f t="shared" ca="1" si="2"/>
        <v>21.79</v>
      </c>
      <c r="I14" s="120">
        <f t="shared" ca="1" si="2"/>
        <v>16.274999999999999</v>
      </c>
      <c r="J14" s="120">
        <f t="shared" ca="1" si="2"/>
        <v>7.5950000000000015</v>
      </c>
      <c r="K14" s="120">
        <f t="shared" ca="1" si="2"/>
        <v>11.665000000000003</v>
      </c>
      <c r="L14" s="120">
        <f t="shared" ca="1" si="2"/>
        <v>18.575000000000003</v>
      </c>
      <c r="M14" s="120" t="str">
        <f t="shared" ca="1" si="2"/>
        <v/>
      </c>
      <c r="N14" s="120" t="str">
        <f t="shared" ca="1" si="2"/>
        <v/>
      </c>
      <c r="O14" s="120" t="str">
        <f t="shared" ca="1" si="2"/>
        <v/>
      </c>
      <c r="P14" s="120" t="str">
        <f t="shared" ca="1" si="2"/>
        <v/>
      </c>
      <c r="Q14" s="120" t="str">
        <f t="shared" ca="1" si="2"/>
        <v/>
      </c>
      <c r="R14" s="120" t="str">
        <f t="shared" ca="1" si="2"/>
        <v/>
      </c>
      <c r="S14" s="120" t="str">
        <f t="shared" ca="1" si="2"/>
        <v/>
      </c>
      <c r="T14" s="120" t="str">
        <f t="shared" ca="1" si="2"/>
        <v/>
      </c>
      <c r="U14" s="120" t="str">
        <f t="shared" ca="1" si="2"/>
        <v/>
      </c>
      <c r="V14" s="120" t="str">
        <f t="shared" ca="1" si="3"/>
        <v/>
      </c>
      <c r="W14" s="120" t="str">
        <f t="shared" ca="1" si="3"/>
        <v/>
      </c>
      <c r="X14" s="120" t="str">
        <f t="shared" ca="1" si="3"/>
        <v/>
      </c>
    </row>
    <row r="15" spans="1:16384" x14ac:dyDescent="0.25">
      <c r="B15" s="33">
        <f>IFERROR(HLOOKUP($D15,'Layout solución (individuo AG)'!$F$10:$Y$25,15,FALSE),"")</f>
        <v>3.4499999999999997</v>
      </c>
      <c r="C15" s="33">
        <f>IFERROR(HLOOKUP($D15,'Layout solución (individuo AG)'!$F$10:$Y$25,16,FALSE),"")</f>
        <v>10.27</v>
      </c>
      <c r="D15" s="48" t="str">
        <f>IF(Servidores!C5="","",Servidores!C5)</f>
        <v>Estación fresado</v>
      </c>
      <c r="E15" s="120">
        <f t="shared" ca="1" si="1"/>
        <v>8.0299999999999994</v>
      </c>
      <c r="F15" s="120">
        <f t="shared" ca="1" si="2"/>
        <v>15.725000000000001</v>
      </c>
      <c r="G15" s="120">
        <f t="shared" ca="1" si="2"/>
        <v>0</v>
      </c>
      <c r="H15" s="120">
        <f t="shared" ca="1" si="2"/>
        <v>6.6749999999999972</v>
      </c>
      <c r="I15" s="120">
        <f t="shared" ca="1" si="2"/>
        <v>10.51</v>
      </c>
      <c r="J15" s="120">
        <f t="shared" ca="1" si="2"/>
        <v>8.129999999999999</v>
      </c>
      <c r="K15" s="120">
        <f t="shared" ca="1" si="2"/>
        <v>9.02</v>
      </c>
      <c r="L15" s="120">
        <f t="shared" ca="1" si="2"/>
        <v>15.829999999999998</v>
      </c>
      <c r="M15" s="120" t="str">
        <f t="shared" ca="1" si="2"/>
        <v/>
      </c>
      <c r="N15" s="120" t="str">
        <f t="shared" ca="1" si="2"/>
        <v/>
      </c>
      <c r="O15" s="120" t="str">
        <f t="shared" ca="1" si="2"/>
        <v/>
      </c>
      <c r="P15" s="120" t="str">
        <f t="shared" ca="1" si="2"/>
        <v/>
      </c>
      <c r="Q15" s="120" t="str">
        <f t="shared" ca="1" si="2"/>
        <v/>
      </c>
      <c r="R15" s="120" t="str">
        <f t="shared" ca="1" si="2"/>
        <v/>
      </c>
      <c r="S15" s="120" t="str">
        <f t="shared" ca="1" si="2"/>
        <v/>
      </c>
      <c r="T15" s="120" t="str">
        <f t="shared" ca="1" si="2"/>
        <v/>
      </c>
      <c r="U15" s="120" t="str">
        <f t="shared" ca="1" si="2"/>
        <v/>
      </c>
      <c r="V15" s="120" t="str">
        <f t="shared" ca="1" si="3"/>
        <v/>
      </c>
      <c r="W15" s="120" t="str">
        <f t="shared" ca="1" si="3"/>
        <v/>
      </c>
      <c r="X15" s="120" t="str">
        <f t="shared" ca="1" si="3"/>
        <v/>
      </c>
    </row>
    <row r="16" spans="1:16384" x14ac:dyDescent="0.25">
      <c r="B16" s="33">
        <f>IFERROR(HLOOKUP($D16,'Layout solución (individuo AG)'!$F$10:$Y$25,15,FALSE),"")</f>
        <v>3.7549999999999999</v>
      </c>
      <c r="C16" s="33">
        <f>IFERROR(HLOOKUP($D16,'Layout solución (individuo AG)'!$F$10:$Y$25,16,FALSE),"")</f>
        <v>16.639999999999997</v>
      </c>
      <c r="D16" s="48" t="str">
        <f>IF(Servidores!C6="","",Servidores!C6)</f>
        <v>Estación limado</v>
      </c>
      <c r="E16" s="120">
        <f t="shared" ca="1" si="1"/>
        <v>14.094999999999995</v>
      </c>
      <c r="F16" s="120">
        <f t="shared" ca="1" si="2"/>
        <v>21.79</v>
      </c>
      <c r="G16" s="120">
        <f t="shared" ca="1" si="2"/>
        <v>6.6749999999999972</v>
      </c>
      <c r="H16" s="120">
        <f t="shared" ca="1" si="2"/>
        <v>0</v>
      </c>
      <c r="I16" s="120">
        <f t="shared" ca="1" si="2"/>
        <v>5.5149999999999979</v>
      </c>
      <c r="J16" s="120">
        <f t="shared" ca="1" si="2"/>
        <v>14.194999999999997</v>
      </c>
      <c r="K16" s="120">
        <f t="shared" ca="1" si="2"/>
        <v>10.124999999999996</v>
      </c>
      <c r="L16" s="120">
        <f t="shared" ca="1" si="2"/>
        <v>9.1550000000000011</v>
      </c>
      <c r="M16" s="120" t="str">
        <f t="shared" ca="1" si="2"/>
        <v/>
      </c>
      <c r="N16" s="120" t="str">
        <f t="shared" ca="1" si="2"/>
        <v/>
      </c>
      <c r="O16" s="120" t="str">
        <f t="shared" ca="1" si="2"/>
        <v/>
      </c>
      <c r="P16" s="120" t="str">
        <f t="shared" ca="1" si="2"/>
        <v/>
      </c>
      <c r="Q16" s="120" t="str">
        <f t="shared" ca="1" si="2"/>
        <v/>
      </c>
      <c r="R16" s="120" t="str">
        <f t="shared" ca="1" si="2"/>
        <v/>
      </c>
      <c r="S16" s="120" t="str">
        <f t="shared" ca="1" si="2"/>
        <v/>
      </c>
      <c r="T16" s="120" t="str">
        <f t="shared" ca="1" si="2"/>
        <v/>
      </c>
      <c r="U16" s="120" t="str">
        <f t="shared" ca="1" si="2"/>
        <v/>
      </c>
      <c r="V16" s="120" t="str">
        <f t="shared" ca="1" si="3"/>
        <v/>
      </c>
      <c r="W16" s="120" t="str">
        <f t="shared" ca="1" si="3"/>
        <v/>
      </c>
      <c r="X16" s="120" t="str">
        <f t="shared" ca="1" si="3"/>
        <v/>
      </c>
    </row>
    <row r="17" spans="2:24" x14ac:dyDescent="0.25">
      <c r="B17" s="33">
        <f>IFERROR(HLOOKUP($D17,'Layout solución (individuo AG)'!$F$10:$Y$25,15,FALSE),"")</f>
        <v>8.43</v>
      </c>
      <c r="C17" s="33">
        <f>IFERROR(HLOOKUP($D17,'Layout solución (individuo AG)'!$F$10:$Y$25,16,FALSE),"")</f>
        <v>15.799999999999999</v>
      </c>
      <c r="D17" s="48" t="str">
        <f>IF(Servidores!C7="","",Servidores!C7)</f>
        <v>Estación empaque</v>
      </c>
      <c r="E17" s="120">
        <f t="shared" ca="1" si="1"/>
        <v>15.74</v>
      </c>
      <c r="F17" s="120">
        <f t="shared" ca="1" si="2"/>
        <v>16.274999999999999</v>
      </c>
      <c r="G17" s="120">
        <f t="shared" ca="1" si="2"/>
        <v>10.51</v>
      </c>
      <c r="H17" s="120">
        <f t="shared" ca="1" si="2"/>
        <v>5.5149999999999979</v>
      </c>
      <c r="I17" s="120">
        <f t="shared" ca="1" si="2"/>
        <v>0</v>
      </c>
      <c r="J17" s="120">
        <f t="shared" ca="1" si="2"/>
        <v>8.6799999999999979</v>
      </c>
      <c r="K17" s="120">
        <f t="shared" ca="1" si="2"/>
        <v>4.6099999999999977</v>
      </c>
      <c r="L17" s="120">
        <f t="shared" ca="1" si="2"/>
        <v>5.3199999999999985</v>
      </c>
      <c r="M17" s="120" t="str">
        <f t="shared" ca="1" si="2"/>
        <v/>
      </c>
      <c r="N17" s="120" t="str">
        <f t="shared" ca="1" si="2"/>
        <v/>
      </c>
      <c r="O17" s="120" t="str">
        <f t="shared" ca="1" si="2"/>
        <v/>
      </c>
      <c r="P17" s="120" t="str">
        <f t="shared" ca="1" si="2"/>
        <v/>
      </c>
      <c r="Q17" s="120" t="str">
        <f t="shared" ca="1" si="2"/>
        <v/>
      </c>
      <c r="R17" s="120" t="str">
        <f t="shared" ca="1" si="2"/>
        <v/>
      </c>
      <c r="S17" s="120" t="str">
        <f t="shared" ca="1" si="2"/>
        <v/>
      </c>
      <c r="T17" s="120" t="str">
        <f t="shared" ca="1" si="2"/>
        <v/>
      </c>
      <c r="U17" s="120" t="str">
        <f t="shared" ca="1" si="2"/>
        <v/>
      </c>
      <c r="V17" s="120" t="str">
        <f t="shared" ca="1" si="3"/>
        <v/>
      </c>
      <c r="W17" s="120" t="str">
        <f t="shared" ca="1" si="3"/>
        <v/>
      </c>
      <c r="X17" s="120" t="str">
        <f t="shared" ca="1" si="3"/>
        <v/>
      </c>
    </row>
    <row r="18" spans="2:24" x14ac:dyDescent="0.25">
      <c r="B18" s="33">
        <f>IFERROR(HLOOKUP($D18,'Layout solución (individuo AG)'!$F$10:$Y$25,15,FALSE),"")</f>
        <v>9.9899999999999984</v>
      </c>
      <c r="C18" s="33">
        <f>IFERROR(HLOOKUP($D18,'Layout solución (individuo AG)'!$F$10:$Y$25,16,FALSE),"")</f>
        <v>8.68</v>
      </c>
      <c r="D18" s="48" t="str">
        <f>IF(Servidores!C8="","",Servidores!C8)</f>
        <v>Bodega materia prima</v>
      </c>
      <c r="E18" s="120">
        <f t="shared" ca="1" si="1"/>
        <v>10.18</v>
      </c>
      <c r="F18" s="120">
        <f t="shared" ca="1" si="2"/>
        <v>7.5950000000000015</v>
      </c>
      <c r="G18" s="120">
        <f t="shared" ca="1" si="2"/>
        <v>8.129999999999999</v>
      </c>
      <c r="H18" s="120">
        <f t="shared" ca="1" si="2"/>
        <v>14.194999999999997</v>
      </c>
      <c r="I18" s="120">
        <f t="shared" ca="1" si="2"/>
        <v>8.6799999999999979</v>
      </c>
      <c r="J18" s="120">
        <f t="shared" ca="1" si="2"/>
        <v>0</v>
      </c>
      <c r="K18" s="120">
        <f t="shared" ca="1" si="2"/>
        <v>4.07</v>
      </c>
      <c r="L18" s="120">
        <f t="shared" ca="1" si="2"/>
        <v>10.98</v>
      </c>
      <c r="M18" s="120" t="str">
        <f t="shared" ca="1" si="2"/>
        <v/>
      </c>
      <c r="N18" s="120" t="str">
        <f t="shared" ca="1" si="2"/>
        <v/>
      </c>
      <c r="O18" s="120" t="str">
        <f t="shared" ca="1" si="2"/>
        <v/>
      </c>
      <c r="P18" s="120" t="str">
        <f t="shared" ca="1" si="2"/>
        <v/>
      </c>
      <c r="Q18" s="120" t="str">
        <f t="shared" ca="1" si="2"/>
        <v/>
      </c>
      <c r="R18" s="120" t="str">
        <f t="shared" ca="1" si="2"/>
        <v/>
      </c>
      <c r="S18" s="120" t="str">
        <f t="shared" ca="1" si="2"/>
        <v/>
      </c>
      <c r="T18" s="120" t="str">
        <f t="shared" ca="1" si="2"/>
        <v/>
      </c>
      <c r="U18" s="120" t="str">
        <f t="shared" ca="1" si="2"/>
        <v/>
      </c>
      <c r="V18" s="120" t="str">
        <f t="shared" ca="1" si="3"/>
        <v/>
      </c>
      <c r="W18" s="120" t="str">
        <f t="shared" ca="1" si="3"/>
        <v/>
      </c>
      <c r="X18" s="120" t="str">
        <f t="shared" ca="1" si="3"/>
        <v/>
      </c>
    </row>
    <row r="19" spans="2:24" x14ac:dyDescent="0.25">
      <c r="B19" s="33">
        <f>IFERROR(HLOOKUP($D19,'Layout solución (individuo AG)'!$F$10:$Y$25,15,FALSE),"")</f>
        <v>9.9899999999999984</v>
      </c>
      <c r="C19" s="33">
        <f>IFERROR(HLOOKUP($D19,'Layout solución (individuo AG)'!$F$10:$Y$25,16,FALSE),"")</f>
        <v>12.75</v>
      </c>
      <c r="D19" s="48" t="str">
        <f>IF(Servidores!C9="","",Servidores!C9)</f>
        <v>Bodega producto terminado</v>
      </c>
      <c r="E19" s="120">
        <f t="shared" ca="1" si="1"/>
        <v>14.249999999999998</v>
      </c>
      <c r="F19" s="120">
        <f t="shared" ca="1" si="2"/>
        <v>11.665000000000003</v>
      </c>
      <c r="G19" s="120">
        <f t="shared" ca="1" si="2"/>
        <v>9.02</v>
      </c>
      <c r="H19" s="120">
        <f t="shared" ca="1" si="2"/>
        <v>10.124999999999996</v>
      </c>
      <c r="I19" s="120">
        <f t="shared" ca="1" si="2"/>
        <v>4.6099999999999977</v>
      </c>
      <c r="J19" s="120">
        <f t="shared" ca="1" si="2"/>
        <v>4.07</v>
      </c>
      <c r="K19" s="120">
        <f t="shared" ca="1" si="2"/>
        <v>0</v>
      </c>
      <c r="L19" s="120">
        <f t="shared" ca="1" si="2"/>
        <v>6.91</v>
      </c>
      <c r="M19" s="120" t="str">
        <f t="shared" ca="1" si="2"/>
        <v/>
      </c>
      <c r="N19" s="120" t="str">
        <f t="shared" ca="1" si="2"/>
        <v/>
      </c>
      <c r="O19" s="120" t="str">
        <f t="shared" ca="1" si="2"/>
        <v/>
      </c>
      <c r="P19" s="120" t="str">
        <f t="shared" ca="1" si="2"/>
        <v/>
      </c>
      <c r="Q19" s="120" t="str">
        <f t="shared" ca="1" si="2"/>
        <v/>
      </c>
      <c r="R19" s="120" t="str">
        <f t="shared" ca="1" si="2"/>
        <v/>
      </c>
      <c r="S19" s="120" t="str">
        <f t="shared" ca="1" si="2"/>
        <v/>
      </c>
      <c r="T19" s="120" t="str">
        <f t="shared" ca="1" si="2"/>
        <v/>
      </c>
      <c r="U19" s="120" t="str">
        <f t="shared" ca="1" si="2"/>
        <v/>
      </c>
      <c r="V19" s="120" t="str">
        <f t="shared" ca="1" si="3"/>
        <v/>
      </c>
      <c r="W19" s="120" t="str">
        <f t="shared" ca="1" si="3"/>
        <v/>
      </c>
      <c r="X19" s="120" t="str">
        <f t="shared" ca="1" si="3"/>
        <v/>
      </c>
    </row>
    <row r="20" spans="2:24" x14ac:dyDescent="0.25">
      <c r="B20" s="33">
        <f>IFERROR(HLOOKUP($D20,'Layout solución (individuo AG)'!$F$10:$Y$25,15,FALSE),"")</f>
        <v>9.9399999999999977</v>
      </c>
      <c r="C20" s="33">
        <f>IFERROR(HLOOKUP($D20,'Layout solución (individuo AG)'!$F$10:$Y$25,16,FALSE),"")</f>
        <v>19.61</v>
      </c>
      <c r="D20" s="48" t="str">
        <f>IF(Servidores!C10="","",Servidores!C10)</f>
        <v>Estación inspección</v>
      </c>
      <c r="E20" s="120">
        <f t="shared" ca="1" si="1"/>
        <v>21.059999999999995</v>
      </c>
      <c r="F20" s="120">
        <f t="shared" ca="1" si="2"/>
        <v>18.575000000000003</v>
      </c>
      <c r="G20" s="120">
        <f t="shared" ca="1" si="2"/>
        <v>15.829999999999998</v>
      </c>
      <c r="H20" s="120">
        <f t="shared" ca="1" si="2"/>
        <v>9.1550000000000011</v>
      </c>
      <c r="I20" s="120">
        <f t="shared" ca="1" si="2"/>
        <v>5.3199999999999985</v>
      </c>
      <c r="J20" s="120">
        <f t="shared" ca="1" si="2"/>
        <v>10.98</v>
      </c>
      <c r="K20" s="120">
        <f t="shared" ca="1" si="2"/>
        <v>6.91</v>
      </c>
      <c r="L20" s="120">
        <f t="shared" ca="1" si="2"/>
        <v>0</v>
      </c>
      <c r="M20" s="120" t="str">
        <f t="shared" ca="1" si="2"/>
        <v/>
      </c>
      <c r="N20" s="120" t="str">
        <f t="shared" ca="1" si="2"/>
        <v/>
      </c>
      <c r="O20" s="120" t="str">
        <f t="shared" ca="1" si="2"/>
        <v/>
      </c>
      <c r="P20" s="120" t="str">
        <f t="shared" ca="1" si="2"/>
        <v/>
      </c>
      <c r="Q20" s="120" t="str">
        <f t="shared" ca="1" si="2"/>
        <v/>
      </c>
      <c r="R20" s="120" t="str">
        <f t="shared" ca="1" si="2"/>
        <v/>
      </c>
      <c r="S20" s="120" t="str">
        <f t="shared" ca="1" si="2"/>
        <v/>
      </c>
      <c r="T20" s="120" t="str">
        <f t="shared" ca="1" si="2"/>
        <v/>
      </c>
      <c r="U20" s="120" t="str">
        <f t="shared" ca="1" si="2"/>
        <v/>
      </c>
      <c r="V20" s="120" t="str">
        <f t="shared" ca="1" si="3"/>
        <v/>
      </c>
      <c r="W20" s="120" t="str">
        <f t="shared" ca="1" si="3"/>
        <v/>
      </c>
      <c r="X20" s="120" t="str">
        <f t="shared" ca="1" si="3"/>
        <v/>
      </c>
    </row>
    <row r="21" spans="2:24" x14ac:dyDescent="0.25">
      <c r="B21" s="33" t="str">
        <f>IFERROR(HLOOKUP($D21,'Layout solución (individuo AG)'!$F$10:$Y$25,15,FALSE),"")</f>
        <v/>
      </c>
      <c r="C21" s="33" t="str">
        <f>IFERROR(HLOOKUP($D21,'Layout solución (individuo AG)'!$F$10:$Y$25,16,FALSE),"")</f>
        <v/>
      </c>
      <c r="D21" s="48" t="str">
        <f>IF(Servidores!C11="","",Servidores!C11)</f>
        <v>Estación reproceso</v>
      </c>
      <c r="E21" s="120" t="str">
        <f t="shared" ca="1" si="1"/>
        <v/>
      </c>
      <c r="F21" s="120" t="str">
        <f t="shared" ca="1" si="2"/>
        <v/>
      </c>
      <c r="G21" s="120" t="str">
        <f t="shared" ca="1" si="2"/>
        <v/>
      </c>
      <c r="H21" s="120" t="str">
        <f t="shared" ca="1" si="2"/>
        <v/>
      </c>
      <c r="I21" s="120" t="str">
        <f t="shared" ca="1" si="2"/>
        <v/>
      </c>
      <c r="J21" s="120" t="str">
        <f t="shared" ca="1" si="2"/>
        <v/>
      </c>
      <c r="K21" s="120" t="str">
        <f t="shared" ca="1" si="2"/>
        <v/>
      </c>
      <c r="L21" s="120" t="str">
        <f t="shared" ca="1" si="2"/>
        <v/>
      </c>
      <c r="M21" s="120" t="str">
        <f t="shared" ca="1" si="2"/>
        <v/>
      </c>
      <c r="N21" s="120" t="str">
        <f t="shared" ca="1" si="2"/>
        <v/>
      </c>
      <c r="O21" s="120" t="str">
        <f t="shared" ca="1" si="2"/>
        <v/>
      </c>
      <c r="P21" s="120" t="str">
        <f t="shared" ca="1" si="2"/>
        <v/>
      </c>
      <c r="Q21" s="120" t="str">
        <f t="shared" ca="1" si="2"/>
        <v/>
      </c>
      <c r="R21" s="120" t="str">
        <f t="shared" ca="1" si="2"/>
        <v/>
      </c>
      <c r="S21" s="120" t="str">
        <f t="shared" ca="1" si="2"/>
        <v/>
      </c>
      <c r="T21" s="120" t="str">
        <f t="shared" ca="1" si="2"/>
        <v/>
      </c>
      <c r="U21" s="120" t="str">
        <f t="shared" ca="1" si="2"/>
        <v/>
      </c>
      <c r="V21" s="120" t="str">
        <f t="shared" ca="1" si="3"/>
        <v/>
      </c>
      <c r="W21" s="120" t="str">
        <f t="shared" ca="1" si="3"/>
        <v/>
      </c>
      <c r="X21" s="120" t="str">
        <f t="shared" ca="1" si="3"/>
        <v/>
      </c>
    </row>
    <row r="22" spans="2:24" x14ac:dyDescent="0.25">
      <c r="B22" s="33" t="str">
        <f>IFERROR(HLOOKUP($D22,'Layout solución (individuo AG)'!$F$10:$Y$25,15,FALSE),"")</f>
        <v/>
      </c>
      <c r="C22" s="33" t="str">
        <f>IFERROR(HLOOKUP($D22,'Layout solución (individuo AG)'!$F$10:$Y$25,16,FALSE),"")</f>
        <v/>
      </c>
      <c r="D22" s="48" t="str">
        <f>IF(Servidores!C12="","",Servidores!C12)</f>
        <v/>
      </c>
      <c r="E22" s="120" t="str">
        <f t="shared" ca="1" si="1"/>
        <v/>
      </c>
      <c r="F22" s="120" t="str">
        <f t="shared" ca="1" si="2"/>
        <v/>
      </c>
      <c r="G22" s="120" t="str">
        <f t="shared" ca="1" si="2"/>
        <v/>
      </c>
      <c r="H22" s="120" t="str">
        <f t="shared" ca="1" si="2"/>
        <v/>
      </c>
      <c r="I22" s="120" t="str">
        <f t="shared" ca="1" si="2"/>
        <v/>
      </c>
      <c r="J22" s="120" t="str">
        <f t="shared" ca="1" si="2"/>
        <v/>
      </c>
      <c r="K22" s="120" t="str">
        <f t="shared" ca="1" si="2"/>
        <v/>
      </c>
      <c r="L22" s="120" t="str">
        <f t="shared" ca="1" si="2"/>
        <v/>
      </c>
      <c r="M22" s="120" t="str">
        <f t="shared" ca="1" si="2"/>
        <v/>
      </c>
      <c r="N22" s="120" t="str">
        <f t="shared" ca="1" si="2"/>
        <v/>
      </c>
      <c r="O22" s="120" t="str">
        <f t="shared" ca="1" si="2"/>
        <v/>
      </c>
      <c r="P22" s="120" t="str">
        <f t="shared" ca="1" si="2"/>
        <v/>
      </c>
      <c r="Q22" s="120" t="str">
        <f t="shared" ca="1" si="2"/>
        <v/>
      </c>
      <c r="R22" s="120" t="str">
        <f t="shared" ca="1" si="2"/>
        <v/>
      </c>
      <c r="S22" s="120" t="str">
        <f t="shared" ca="1" si="2"/>
        <v/>
      </c>
      <c r="T22" s="120" t="str">
        <f t="shared" ca="1" si="2"/>
        <v/>
      </c>
      <c r="U22" s="120" t="str">
        <f t="shared" ca="1" si="2"/>
        <v/>
      </c>
      <c r="V22" s="120" t="str">
        <f t="shared" ca="1" si="3"/>
        <v/>
      </c>
      <c r="W22" s="120" t="str">
        <f t="shared" ca="1" si="3"/>
        <v/>
      </c>
      <c r="X22" s="120" t="str">
        <f t="shared" ca="1" si="3"/>
        <v/>
      </c>
    </row>
    <row r="23" spans="2:24" x14ac:dyDescent="0.25">
      <c r="B23" s="33" t="str">
        <f>IFERROR(HLOOKUP($D23,'Layout solución (individuo AG)'!$F$10:$Y$25,15,FALSE),"")</f>
        <v/>
      </c>
      <c r="C23" s="33" t="str">
        <f>IFERROR(HLOOKUP($D23,'Layout solución (individuo AG)'!$F$10:$Y$25,16,FALSE),"")</f>
        <v/>
      </c>
      <c r="D23" s="48" t="str">
        <f>IF(Servidores!C13="","",Servidores!C13)</f>
        <v/>
      </c>
      <c r="E23" s="120" t="str">
        <f t="shared" ca="1" si="1"/>
        <v/>
      </c>
      <c r="F23" s="120" t="str">
        <f t="shared" ca="1" si="2"/>
        <v/>
      </c>
      <c r="G23" s="120" t="str">
        <f t="shared" ca="1" si="2"/>
        <v/>
      </c>
      <c r="H23" s="120" t="str">
        <f t="shared" ca="1" si="2"/>
        <v/>
      </c>
      <c r="I23" s="120" t="str">
        <f t="shared" ca="1" si="2"/>
        <v/>
      </c>
      <c r="J23" s="120" t="str">
        <f t="shared" ca="1" si="2"/>
        <v/>
      </c>
      <c r="K23" s="120" t="str">
        <f t="shared" ca="1" si="2"/>
        <v/>
      </c>
      <c r="L23" s="120" t="str">
        <f t="shared" ca="1" si="2"/>
        <v/>
      </c>
      <c r="M23" s="120" t="str">
        <f t="shared" ca="1" si="2"/>
        <v/>
      </c>
      <c r="N23" s="120" t="str">
        <f t="shared" ca="1" si="2"/>
        <v/>
      </c>
      <c r="O23" s="120" t="str">
        <f t="shared" ca="1" si="2"/>
        <v/>
      </c>
      <c r="P23" s="120" t="str">
        <f t="shared" ca="1" si="2"/>
        <v/>
      </c>
      <c r="Q23" s="120" t="str">
        <f t="shared" ca="1" si="2"/>
        <v/>
      </c>
      <c r="R23" s="120" t="str">
        <f t="shared" ca="1" si="2"/>
        <v/>
      </c>
      <c r="S23" s="120" t="str">
        <f t="shared" ca="1" si="2"/>
        <v/>
      </c>
      <c r="T23" s="120" t="str">
        <f t="shared" ca="1" si="2"/>
        <v/>
      </c>
      <c r="U23" s="120" t="str">
        <f t="shared" ca="1" si="2"/>
        <v/>
      </c>
      <c r="V23" s="120" t="str">
        <f t="shared" ca="1" si="3"/>
        <v/>
      </c>
      <c r="W23" s="120" t="str">
        <f t="shared" ca="1" si="3"/>
        <v/>
      </c>
      <c r="X23" s="120" t="str">
        <f t="shared" ca="1" si="3"/>
        <v/>
      </c>
    </row>
    <row r="24" spans="2:24" x14ac:dyDescent="0.25">
      <c r="B24" s="33" t="str">
        <f>IFERROR(HLOOKUP($D24,'Layout solución (individuo AG)'!$F$10:$Y$25,15,FALSE),"")</f>
        <v/>
      </c>
      <c r="C24" s="33" t="str">
        <f>IFERROR(HLOOKUP($D24,'Layout solución (individuo AG)'!$F$10:$Y$25,16,FALSE),"")</f>
        <v/>
      </c>
      <c r="D24" s="48" t="str">
        <f>IF(Servidores!C14="","",Servidores!C14)</f>
        <v/>
      </c>
      <c r="E24" s="120" t="str">
        <f t="shared" ca="1" si="1"/>
        <v/>
      </c>
      <c r="F24" s="120" t="str">
        <f t="shared" ca="1" si="2"/>
        <v/>
      </c>
      <c r="G24" s="120" t="str">
        <f t="shared" ca="1" si="2"/>
        <v/>
      </c>
      <c r="H24" s="120" t="str">
        <f t="shared" ca="1" si="2"/>
        <v/>
      </c>
      <c r="I24" s="120" t="str">
        <f t="shared" ca="1" si="2"/>
        <v/>
      </c>
      <c r="J24" s="120" t="str">
        <f t="shared" ca="1" si="2"/>
        <v/>
      </c>
      <c r="K24" s="120" t="str">
        <f t="shared" ca="1" si="2"/>
        <v/>
      </c>
      <c r="L24" s="120" t="str">
        <f t="shared" ca="1" si="2"/>
        <v/>
      </c>
      <c r="M24" s="120" t="str">
        <f t="shared" ca="1" si="2"/>
        <v/>
      </c>
      <c r="N24" s="120" t="str">
        <f t="shared" ca="1" si="2"/>
        <v/>
      </c>
      <c r="O24" s="120" t="str">
        <f t="shared" ca="1" si="2"/>
        <v/>
      </c>
      <c r="P24" s="120" t="str">
        <f t="shared" ca="1" si="2"/>
        <v/>
      </c>
      <c r="Q24" s="120" t="str">
        <f t="shared" ca="1" si="2"/>
        <v/>
      </c>
      <c r="R24" s="120" t="str">
        <f t="shared" ca="1" si="2"/>
        <v/>
      </c>
      <c r="S24" s="120" t="str">
        <f t="shared" ca="1" si="2"/>
        <v/>
      </c>
      <c r="T24" s="120" t="str">
        <f t="shared" ca="1" si="2"/>
        <v/>
      </c>
      <c r="U24" s="120" t="str">
        <f t="shared" ca="1" si="2"/>
        <v/>
      </c>
      <c r="V24" s="120" t="str">
        <f t="shared" ca="1" si="3"/>
        <v/>
      </c>
      <c r="W24" s="120" t="str">
        <f t="shared" ca="1" si="3"/>
        <v/>
      </c>
      <c r="X24" s="120" t="str">
        <f t="shared" ca="1" si="3"/>
        <v/>
      </c>
    </row>
    <row r="25" spans="2:24" x14ac:dyDescent="0.25">
      <c r="B25" s="33" t="str">
        <f>IFERROR(HLOOKUP($D25,'Layout solución (individuo AG)'!$F$10:$Y$25,15,FALSE),"")</f>
        <v/>
      </c>
      <c r="C25" s="33" t="str">
        <f>IFERROR(HLOOKUP($D25,'Layout solución (individuo AG)'!$F$10:$Y$25,16,FALSE),"")</f>
        <v/>
      </c>
      <c r="D25" s="48" t="str">
        <f>IF(Servidores!C15="","",Servidores!C15)</f>
        <v/>
      </c>
      <c r="E25" s="120" t="str">
        <f t="shared" ca="1" si="1"/>
        <v/>
      </c>
      <c r="F25" s="120" t="str">
        <f t="shared" ca="1" si="2"/>
        <v/>
      </c>
      <c r="G25" s="120" t="str">
        <f t="shared" ca="1" si="2"/>
        <v/>
      </c>
      <c r="H25" s="120" t="str">
        <f t="shared" ca="1" si="2"/>
        <v/>
      </c>
      <c r="I25" s="120" t="str">
        <f t="shared" ca="1" si="2"/>
        <v/>
      </c>
      <c r="J25" s="120" t="str">
        <f t="shared" ca="1" si="2"/>
        <v/>
      </c>
      <c r="K25" s="120" t="str">
        <f t="shared" ca="1" si="2"/>
        <v/>
      </c>
      <c r="L25" s="120" t="str">
        <f t="shared" ca="1" si="2"/>
        <v/>
      </c>
      <c r="M25" s="120" t="str">
        <f t="shared" ca="1" si="2"/>
        <v/>
      </c>
      <c r="N25" s="120" t="str">
        <f t="shared" ca="1" si="2"/>
        <v/>
      </c>
      <c r="O25" s="120" t="str">
        <f t="shared" ca="1" si="2"/>
        <v/>
      </c>
      <c r="P25" s="120" t="str">
        <f t="shared" ca="1" si="2"/>
        <v/>
      </c>
      <c r="Q25" s="120" t="str">
        <f t="shared" ca="1" si="2"/>
        <v/>
      </c>
      <c r="R25" s="120" t="str">
        <f t="shared" ca="1" si="2"/>
        <v/>
      </c>
      <c r="S25" s="120" t="str">
        <f t="shared" ca="1" si="2"/>
        <v/>
      </c>
      <c r="T25" s="120" t="str">
        <f t="shared" ca="1" si="2"/>
        <v/>
      </c>
      <c r="U25" s="120" t="str">
        <f t="shared" ca="1" si="2"/>
        <v/>
      </c>
      <c r="V25" s="120" t="str">
        <f t="shared" ca="1" si="3"/>
        <v/>
      </c>
      <c r="W25" s="120" t="str">
        <f t="shared" ca="1" si="3"/>
        <v/>
      </c>
      <c r="X25" s="120" t="str">
        <f t="shared" ca="1" si="3"/>
        <v/>
      </c>
    </row>
    <row r="26" spans="2:24" x14ac:dyDescent="0.25">
      <c r="B26" s="33" t="str">
        <f>IFERROR(HLOOKUP($D26,'Layout solución (individuo AG)'!$F$10:$Y$25,15,FALSE),"")</f>
        <v/>
      </c>
      <c r="C26" s="33" t="str">
        <f>IFERROR(HLOOKUP($D26,'Layout solución (individuo AG)'!$F$10:$Y$25,16,FALSE),"")</f>
        <v/>
      </c>
      <c r="D26" s="48" t="str">
        <f>IF(Servidores!C16="","",Servidores!C16)</f>
        <v/>
      </c>
      <c r="E26" s="120" t="str">
        <f t="shared" ca="1" si="1"/>
        <v/>
      </c>
      <c r="F26" s="120" t="str">
        <f t="shared" ca="1" si="2"/>
        <v/>
      </c>
      <c r="G26" s="120" t="str">
        <f t="shared" ca="1" si="2"/>
        <v/>
      </c>
      <c r="H26" s="120" t="str">
        <f t="shared" ca="1" si="2"/>
        <v/>
      </c>
      <c r="I26" s="120" t="str">
        <f t="shared" ca="1" si="2"/>
        <v/>
      </c>
      <c r="J26" s="120" t="str">
        <f t="shared" ca="1" si="2"/>
        <v/>
      </c>
      <c r="K26" s="120" t="str">
        <f t="shared" ca="1" si="2"/>
        <v/>
      </c>
      <c r="L26" s="120" t="str">
        <f t="shared" ca="1" si="2"/>
        <v/>
      </c>
      <c r="M26" s="120" t="str">
        <f t="shared" ca="1" si="2"/>
        <v/>
      </c>
      <c r="N26" s="120" t="str">
        <f t="shared" ca="1" si="2"/>
        <v/>
      </c>
      <c r="O26" s="120" t="str">
        <f t="shared" ca="1" si="2"/>
        <v/>
      </c>
      <c r="P26" s="120" t="str">
        <f t="shared" ca="1" si="2"/>
        <v/>
      </c>
      <c r="Q26" s="120" t="str">
        <f t="shared" ca="1" si="2"/>
        <v/>
      </c>
      <c r="R26" s="120" t="str">
        <f t="shared" ca="1" si="2"/>
        <v/>
      </c>
      <c r="S26" s="120" t="str">
        <f t="shared" ca="1" si="2"/>
        <v/>
      </c>
      <c r="T26" s="120" t="str">
        <f t="shared" ca="1" si="2"/>
        <v/>
      </c>
      <c r="U26" s="120" t="str">
        <f t="shared" ca="1" si="2"/>
        <v/>
      </c>
      <c r="V26" s="120" t="str">
        <f t="shared" ca="1" si="3"/>
        <v/>
      </c>
      <c r="W26" s="120" t="str">
        <f t="shared" ca="1" si="3"/>
        <v/>
      </c>
      <c r="X26" s="120" t="str">
        <f t="shared" ca="1" si="3"/>
        <v/>
      </c>
    </row>
    <row r="27" spans="2:24" x14ac:dyDescent="0.25">
      <c r="B27" s="33" t="str">
        <f>IFERROR(HLOOKUP($D27,'Layout solución (individuo AG)'!$F$10:$Y$25,15,FALSE),"")</f>
        <v/>
      </c>
      <c r="C27" s="33" t="str">
        <f>IFERROR(HLOOKUP($D27,'Layout solución (individuo AG)'!$F$10:$Y$25,16,FALSE),"")</f>
        <v/>
      </c>
      <c r="D27" s="48" t="str">
        <f>IF(Servidores!C17="","",Servidores!C17)</f>
        <v/>
      </c>
      <c r="E27" s="120" t="str">
        <f t="shared" ca="1" si="1"/>
        <v/>
      </c>
      <c r="F27" s="120" t="str">
        <f t="shared" ca="1" si="2"/>
        <v/>
      </c>
      <c r="G27" s="120" t="str">
        <f t="shared" ca="1" si="2"/>
        <v/>
      </c>
      <c r="H27" s="120" t="str">
        <f t="shared" ca="1" si="2"/>
        <v/>
      </c>
      <c r="I27" s="120" t="str">
        <f t="shared" ca="1" si="2"/>
        <v/>
      </c>
      <c r="J27" s="120" t="str">
        <f t="shared" ca="1" si="2"/>
        <v/>
      </c>
      <c r="K27" s="120" t="str">
        <f t="shared" ca="1" si="2"/>
        <v/>
      </c>
      <c r="L27" s="120" t="str">
        <f t="shared" ca="1" si="2"/>
        <v/>
      </c>
      <c r="M27" s="120" t="str">
        <f t="shared" ca="1" si="2"/>
        <v/>
      </c>
      <c r="N27" s="120" t="str">
        <f t="shared" ca="1" si="2"/>
        <v/>
      </c>
      <c r="O27" s="120" t="str">
        <f t="shared" ca="1" si="2"/>
        <v/>
      </c>
      <c r="P27" s="120" t="str">
        <f t="shared" ca="1" si="2"/>
        <v/>
      </c>
      <c r="Q27" s="120" t="str">
        <f t="shared" ca="1" si="2"/>
        <v/>
      </c>
      <c r="R27" s="120" t="str">
        <f t="shared" ca="1" si="2"/>
        <v/>
      </c>
      <c r="S27" s="120" t="str">
        <f t="shared" ca="1" si="2"/>
        <v/>
      </c>
      <c r="T27" s="120" t="str">
        <f t="shared" ca="1" si="2"/>
        <v/>
      </c>
      <c r="U27" s="120" t="str">
        <f t="shared" ca="1" si="2"/>
        <v/>
      </c>
      <c r="V27" s="120" t="str">
        <f t="shared" ca="1" si="3"/>
        <v/>
      </c>
      <c r="W27" s="120" t="str">
        <f t="shared" ca="1" si="3"/>
        <v/>
      </c>
      <c r="X27" s="120" t="str">
        <f t="shared" ca="1" si="3"/>
        <v/>
      </c>
    </row>
    <row r="28" spans="2:24" x14ac:dyDescent="0.25">
      <c r="B28" s="33" t="str">
        <f>IFERROR(HLOOKUP($D28,'Layout solución (individuo AG)'!$F$10:$Y$25,15,FALSE),"")</f>
        <v/>
      </c>
      <c r="C28" s="33" t="str">
        <f>IFERROR(HLOOKUP($D28,'Layout solución (individuo AG)'!$F$10:$Y$25,16,FALSE),"")</f>
        <v/>
      </c>
      <c r="D28" s="48" t="str">
        <f>IF(Servidores!C18="","",Servidores!C18)</f>
        <v/>
      </c>
      <c r="E28" s="120" t="str">
        <f t="shared" ca="1" si="1"/>
        <v/>
      </c>
      <c r="F28" s="120" t="str">
        <f t="shared" ca="1" si="2"/>
        <v/>
      </c>
      <c r="G28" s="120" t="str">
        <f t="shared" ca="1" si="2"/>
        <v/>
      </c>
      <c r="H28" s="120" t="str">
        <f t="shared" ca="1" si="2"/>
        <v/>
      </c>
      <c r="I28" s="120" t="str">
        <f t="shared" ca="1" si="2"/>
        <v/>
      </c>
      <c r="J28" s="120" t="str">
        <f t="shared" ca="1" si="2"/>
        <v/>
      </c>
      <c r="K28" s="120" t="str">
        <f t="shared" ca="1" si="2"/>
        <v/>
      </c>
      <c r="L28" s="120" t="str">
        <f t="shared" ca="1" si="2"/>
        <v/>
      </c>
      <c r="M28" s="120" t="str">
        <f t="shared" ca="1" si="2"/>
        <v/>
      </c>
      <c r="N28" s="120" t="str">
        <f t="shared" ca="1" si="2"/>
        <v/>
      </c>
      <c r="O28" s="120" t="str">
        <f t="shared" ca="1" si="2"/>
        <v/>
      </c>
      <c r="P28" s="120" t="str">
        <f t="shared" ca="1" si="2"/>
        <v/>
      </c>
      <c r="Q28" s="120" t="str">
        <f t="shared" ca="1" si="2"/>
        <v/>
      </c>
      <c r="R28" s="120" t="str">
        <f t="shared" ca="1" si="2"/>
        <v/>
      </c>
      <c r="S28" s="120" t="str">
        <f t="shared" ca="1" si="2"/>
        <v/>
      </c>
      <c r="T28" s="120" t="str">
        <f t="shared" ca="1" si="2"/>
        <v/>
      </c>
      <c r="U28" s="120" t="str">
        <f ca="1">IFERROR(ABS($B28-U$10)+ABS($C28-U$11),"")</f>
        <v/>
      </c>
      <c r="V28" s="120" t="str">
        <f t="shared" ca="1" si="3"/>
        <v/>
      </c>
      <c r="W28" s="120" t="str">
        <f t="shared" ca="1" si="3"/>
        <v/>
      </c>
      <c r="X28" s="120" t="str">
        <f t="shared" ca="1" si="3"/>
        <v/>
      </c>
    </row>
    <row r="29" spans="2:24" x14ac:dyDescent="0.25">
      <c r="B29" s="33" t="str">
        <f>IFERROR(HLOOKUP($D29,'Layout solución (individuo AG)'!$F$10:$Y$25,15,FALSE),"")</f>
        <v/>
      </c>
      <c r="C29" s="33" t="str">
        <f>IFERROR(HLOOKUP($D29,'Layout solución (individuo AG)'!$F$10:$Y$25,16,FALSE),"")</f>
        <v/>
      </c>
      <c r="D29" s="48" t="str">
        <f>IF(Servidores!C19="","",Servidores!C19)</f>
        <v/>
      </c>
      <c r="E29" s="120" t="str">
        <f t="shared" ca="1" si="1"/>
        <v/>
      </c>
      <c r="F29" s="120" t="str">
        <f t="shared" ref="F29:T29" ca="1" si="4">IFERROR(ABS($B29-F$10)+ABS($C29-F$11),"")</f>
        <v/>
      </c>
      <c r="G29" s="120" t="str">
        <f t="shared" ca="1" si="4"/>
        <v/>
      </c>
      <c r="H29" s="120" t="str">
        <f t="shared" ca="1" si="4"/>
        <v/>
      </c>
      <c r="I29" s="120" t="str">
        <f t="shared" ca="1" si="4"/>
        <v/>
      </c>
      <c r="J29" s="120" t="str">
        <f t="shared" ca="1" si="4"/>
        <v/>
      </c>
      <c r="K29" s="120" t="str">
        <f t="shared" ca="1" si="4"/>
        <v/>
      </c>
      <c r="L29" s="120" t="str">
        <f t="shared" ca="1" si="4"/>
        <v/>
      </c>
      <c r="M29" s="120" t="str">
        <f t="shared" ca="1" si="4"/>
        <v/>
      </c>
      <c r="N29" s="120" t="str">
        <f t="shared" ca="1" si="4"/>
        <v/>
      </c>
      <c r="O29" s="120" t="str">
        <f t="shared" ca="1" si="4"/>
        <v/>
      </c>
      <c r="P29" s="120" t="str">
        <f t="shared" ca="1" si="4"/>
        <v/>
      </c>
      <c r="Q29" s="120" t="str">
        <f t="shared" ca="1" si="4"/>
        <v/>
      </c>
      <c r="R29" s="120" t="str">
        <f t="shared" ca="1" si="4"/>
        <v/>
      </c>
      <c r="S29" s="120" t="str">
        <f t="shared" ca="1" si="4"/>
        <v/>
      </c>
      <c r="T29" s="120" t="str">
        <f t="shared" ca="1" si="4"/>
        <v/>
      </c>
      <c r="U29" s="120" t="str">
        <f ca="1">IFERROR(ABS($B29-U$10)+ABS($C29-U$11),"")</f>
        <v/>
      </c>
      <c r="V29" s="120" t="str">
        <f t="shared" ca="1" si="3"/>
        <v/>
      </c>
      <c r="W29" s="120" t="str">
        <f t="shared" ca="1" si="3"/>
        <v/>
      </c>
      <c r="X29" s="120" t="str">
        <f t="shared" ca="1" si="3"/>
        <v/>
      </c>
    </row>
    <row r="30" spans="2:24" x14ac:dyDescent="0.25">
      <c r="B30" s="33" t="str">
        <f>IFERROR(HLOOKUP($D30,'Layout solución (individuo AG)'!$F$10:$Y$25,15,FALSE),"")</f>
        <v/>
      </c>
      <c r="C30" s="33" t="str">
        <f>IFERROR(HLOOKUP($D30,'Layout solución (individuo AG)'!$F$10:$Y$25,16,FALSE),"")</f>
        <v/>
      </c>
      <c r="D30" s="48" t="str">
        <f>IF(Servidores!C20="","",Servidores!C20)</f>
        <v/>
      </c>
      <c r="E30" s="120" t="str">
        <f t="shared" ref="E30:T32" ca="1" si="5">IFERROR(ABS($B30-E$10)+ABS($C30-E$11),"")</f>
        <v/>
      </c>
      <c r="F30" s="120" t="str">
        <f t="shared" ca="1" si="5"/>
        <v/>
      </c>
      <c r="G30" s="120" t="str">
        <f t="shared" ca="1" si="5"/>
        <v/>
      </c>
      <c r="H30" s="120" t="str">
        <f t="shared" ca="1" si="5"/>
        <v/>
      </c>
      <c r="I30" s="120" t="str">
        <f t="shared" ca="1" si="5"/>
        <v/>
      </c>
      <c r="J30" s="120" t="str">
        <f t="shared" ca="1" si="5"/>
        <v/>
      </c>
      <c r="K30" s="120" t="str">
        <f t="shared" ca="1" si="5"/>
        <v/>
      </c>
      <c r="L30" s="120" t="str">
        <f t="shared" ca="1" si="5"/>
        <v/>
      </c>
      <c r="M30" s="120" t="str">
        <f t="shared" ca="1" si="5"/>
        <v/>
      </c>
      <c r="N30" s="120" t="str">
        <f t="shared" ca="1" si="5"/>
        <v/>
      </c>
      <c r="O30" s="120" t="str">
        <f t="shared" ca="1" si="5"/>
        <v/>
      </c>
      <c r="P30" s="120" t="str">
        <f t="shared" ca="1" si="5"/>
        <v/>
      </c>
      <c r="Q30" s="120" t="str">
        <f t="shared" ca="1" si="5"/>
        <v/>
      </c>
      <c r="R30" s="120" t="str">
        <f t="shared" ca="1" si="5"/>
        <v/>
      </c>
      <c r="S30" s="120" t="str">
        <f t="shared" ca="1" si="5"/>
        <v/>
      </c>
      <c r="T30" s="120" t="str">
        <f t="shared" ca="1" si="5"/>
        <v/>
      </c>
      <c r="U30" s="120" t="str">
        <f ca="1">IFERROR(ABS($B30-U$10)+ABS($C30-U$11),"")</f>
        <v/>
      </c>
      <c r="V30" s="120" t="str">
        <f t="shared" ca="1" si="3"/>
        <v/>
      </c>
      <c r="W30" s="120" t="str">
        <f t="shared" ca="1" si="3"/>
        <v/>
      </c>
      <c r="X30" s="120" t="str">
        <f t="shared" ca="1" si="3"/>
        <v/>
      </c>
    </row>
    <row r="31" spans="2:24" x14ac:dyDescent="0.25">
      <c r="B31" s="33" t="str">
        <f>IFERROR(HLOOKUP($D31,'Layout solución (individuo AG)'!$F$10:$Y$25,15,FALSE),"")</f>
        <v/>
      </c>
      <c r="C31" s="33" t="str">
        <f>IFERROR(HLOOKUP($D31,'Layout solución (individuo AG)'!$F$10:$Y$25,16,FALSE),"")</f>
        <v/>
      </c>
      <c r="D31" s="48" t="str">
        <f>IF(Servidores!C21="","",Servidores!C21)</f>
        <v/>
      </c>
      <c r="E31" s="120" t="str">
        <f t="shared" ca="1" si="5"/>
        <v/>
      </c>
      <c r="F31" s="120" t="str">
        <f t="shared" ca="1" si="5"/>
        <v/>
      </c>
      <c r="G31" s="120" t="str">
        <f t="shared" ca="1" si="5"/>
        <v/>
      </c>
      <c r="H31" s="120" t="str">
        <f t="shared" ca="1" si="5"/>
        <v/>
      </c>
      <c r="I31" s="120" t="str">
        <f t="shared" ca="1" si="5"/>
        <v/>
      </c>
      <c r="J31" s="120" t="str">
        <f t="shared" ca="1" si="5"/>
        <v/>
      </c>
      <c r="K31" s="120" t="str">
        <f t="shared" ca="1" si="5"/>
        <v/>
      </c>
      <c r="L31" s="120" t="str">
        <f t="shared" ca="1" si="5"/>
        <v/>
      </c>
      <c r="M31" s="120" t="str">
        <f t="shared" ca="1" si="5"/>
        <v/>
      </c>
      <c r="N31" s="120" t="str">
        <f t="shared" ca="1" si="5"/>
        <v/>
      </c>
      <c r="O31" s="120" t="str">
        <f t="shared" ca="1" si="5"/>
        <v/>
      </c>
      <c r="P31" s="120" t="str">
        <f t="shared" ca="1" si="5"/>
        <v/>
      </c>
      <c r="Q31" s="120" t="str">
        <f t="shared" ca="1" si="5"/>
        <v/>
      </c>
      <c r="R31" s="120" t="str">
        <f t="shared" ca="1" si="5"/>
        <v/>
      </c>
      <c r="S31" s="120" t="str">
        <f t="shared" ca="1" si="5"/>
        <v/>
      </c>
      <c r="T31" s="120" t="str">
        <f t="shared" ca="1" si="5"/>
        <v/>
      </c>
      <c r="U31" s="120" t="str">
        <f ca="1">IFERROR(ABS($B31-U$10)+ABS($C31-U$11),"")</f>
        <v/>
      </c>
      <c r="V31" s="120" t="str">
        <f t="shared" ca="1" si="3"/>
        <v/>
      </c>
      <c r="W31" s="120" t="str">
        <f t="shared" ca="1" si="3"/>
        <v/>
      </c>
      <c r="X31" s="120" t="str">
        <f t="shared" ca="1" si="3"/>
        <v/>
      </c>
    </row>
    <row r="32" spans="2:24" x14ac:dyDescent="0.25">
      <c r="B32" s="33" t="str">
        <f>IFERROR(HLOOKUP($D32,'Layout solución (individuo AG)'!$F$10:$Y$25,15,FALSE),"")</f>
        <v/>
      </c>
      <c r="C32" s="33" t="str">
        <f>IFERROR(HLOOKUP($D32,'Layout solución (individuo AG)'!$F$10:$Y$25,16,FALSE),"")</f>
        <v/>
      </c>
      <c r="D32" s="48" t="str">
        <f>IF(Servidores!C22="","",Servidores!C22)</f>
        <v/>
      </c>
      <c r="E32" s="120" t="str">
        <f t="shared" ca="1" si="5"/>
        <v/>
      </c>
      <c r="F32" s="120" t="str">
        <f t="shared" ca="1" si="5"/>
        <v/>
      </c>
      <c r="G32" s="120" t="str">
        <f t="shared" ca="1" si="5"/>
        <v/>
      </c>
      <c r="H32" s="120" t="str">
        <f t="shared" ca="1" si="5"/>
        <v/>
      </c>
      <c r="I32" s="120" t="str">
        <f t="shared" ca="1" si="5"/>
        <v/>
      </c>
      <c r="J32" s="120" t="str">
        <f t="shared" ca="1" si="5"/>
        <v/>
      </c>
      <c r="K32" s="120" t="str">
        <f t="shared" ca="1" si="5"/>
        <v/>
      </c>
      <c r="L32" s="120" t="str">
        <f t="shared" ca="1" si="5"/>
        <v/>
      </c>
      <c r="M32" s="120" t="str">
        <f t="shared" ca="1" si="5"/>
        <v/>
      </c>
      <c r="N32" s="120" t="str">
        <f t="shared" ca="1" si="5"/>
        <v/>
      </c>
      <c r="O32" s="120" t="str">
        <f t="shared" ca="1" si="5"/>
        <v/>
      </c>
      <c r="P32" s="120" t="str">
        <f t="shared" ca="1" si="5"/>
        <v/>
      </c>
      <c r="Q32" s="120" t="str">
        <f t="shared" ca="1" si="5"/>
        <v/>
      </c>
      <c r="R32" s="120" t="str">
        <f t="shared" ca="1" si="5"/>
        <v/>
      </c>
      <c r="S32" s="120" t="str">
        <f t="shared" ca="1" si="5"/>
        <v/>
      </c>
      <c r="T32" s="120" t="str">
        <f t="shared" ca="1" si="5"/>
        <v/>
      </c>
      <c r="U32" s="120" t="str">
        <f ca="1">IFERROR(ABS($B32-U$10)+ABS($C32-U$11),"")</f>
        <v/>
      </c>
      <c r="V32" s="120" t="str">
        <f t="shared" ca="1" si="3"/>
        <v/>
      </c>
      <c r="W32" s="120" t="str">
        <f t="shared" ca="1" si="3"/>
        <v/>
      </c>
      <c r="X32" s="120" t="str">
        <f t="shared" ca="1" si="3"/>
        <v/>
      </c>
    </row>
  </sheetData>
  <mergeCells count="3">
    <mergeCell ref="A1:D1"/>
    <mergeCell ref="E1:F1"/>
    <mergeCell ref="A2:D8"/>
  </mergeCells>
  <conditionalFormatting sqref="E13:X32">
    <cfRule type="cellIs" dxfId="12" priority="7" operator="between">
      <formula>$G$3</formula>
      <formula>$H$3</formula>
    </cfRule>
    <cfRule type="cellIs" dxfId="11" priority="8" operator="between">
      <formula>$G$4</formula>
      <formula>$H$4</formula>
    </cfRule>
    <cfRule type="cellIs" dxfId="10" priority="9" operator="between">
      <formula>$G$5</formula>
      <formula>$H$5</formula>
    </cfRule>
    <cfRule type="cellIs" dxfId="9" priority="10" operator="between">
      <formula>$G$6</formula>
      <formula>$H$6</formula>
    </cfRule>
    <cfRule type="cellIs" dxfId="8" priority="11" operator="between">
      <formula>$G$7</formula>
      <formula>$H$7</formula>
    </cfRule>
    <cfRule type="cellIs" dxfId="7" priority="12" operator="between">
      <formula>$G$8</formula>
      <formula>$H$8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FF00"/>
  </sheetPr>
  <dimension ref="A1:I23"/>
  <sheetViews>
    <sheetView showGridLines="0" workbookViewId="0">
      <selection activeCell="B2" sqref="B2:C2"/>
    </sheetView>
  </sheetViews>
  <sheetFormatPr baseColWidth="10" defaultRowHeight="15" x14ac:dyDescent="0.25"/>
  <cols>
    <col min="1" max="1" width="2.140625" customWidth="1"/>
    <col min="2" max="2" width="23.140625" customWidth="1"/>
    <col min="3" max="3" width="45.28515625" customWidth="1"/>
    <col min="4" max="4" width="11.42578125" customWidth="1"/>
  </cols>
  <sheetData>
    <row r="1" spans="1:9" s="12" customFormat="1" ht="86.25" customHeight="1" x14ac:dyDescent="0.2">
      <c r="A1" s="155"/>
      <c r="B1" s="155"/>
      <c r="C1" s="155"/>
      <c r="D1" s="155"/>
      <c r="E1" s="155"/>
      <c r="F1" s="10"/>
      <c r="G1" s="11"/>
      <c r="H1" s="10"/>
      <c r="I1" s="11"/>
    </row>
    <row r="2" spans="1:9" x14ac:dyDescent="0.25">
      <c r="B2" s="158" t="s">
        <v>191</v>
      </c>
      <c r="C2" s="158"/>
    </row>
    <row r="3" spans="1:9" x14ac:dyDescent="0.25">
      <c r="B3" s="90" t="s">
        <v>192</v>
      </c>
      <c r="C3" s="138">
        <v>100</v>
      </c>
      <c r="D3" s="100"/>
      <c r="E3" s="90"/>
      <c r="F3" s="90"/>
      <c r="G3" s="90"/>
    </row>
    <row r="4" spans="1:9" x14ac:dyDescent="0.25">
      <c r="B4" s="90"/>
      <c r="C4" s="90"/>
      <c r="D4" s="90"/>
      <c r="E4" s="90"/>
      <c r="F4" s="90"/>
      <c r="G4" s="90"/>
    </row>
    <row r="5" spans="1:9" x14ac:dyDescent="0.25">
      <c r="B5" s="90" t="s">
        <v>193</v>
      </c>
      <c r="C5" s="138">
        <v>20</v>
      </c>
      <c r="D5" s="90"/>
      <c r="E5" s="90"/>
      <c r="F5" s="90"/>
    </row>
    <row r="6" spans="1:9" x14ac:dyDescent="0.25">
      <c r="B6" s="90"/>
      <c r="C6" s="90"/>
      <c r="D6" s="90"/>
      <c r="E6" s="90"/>
      <c r="F6" s="90"/>
      <c r="G6" s="90"/>
    </row>
    <row r="7" spans="1:9" x14ac:dyDescent="0.25">
      <c r="B7" s="90" t="s">
        <v>195</v>
      </c>
      <c r="C7" s="77">
        <v>0.5</v>
      </c>
      <c r="D7" s="90"/>
      <c r="E7" s="90"/>
      <c r="F7" s="90"/>
      <c r="G7" s="90"/>
    </row>
    <row r="8" spans="1:9" x14ac:dyDescent="0.25">
      <c r="B8" s="90"/>
      <c r="C8" s="90"/>
      <c r="D8" s="90"/>
      <c r="E8" s="90"/>
      <c r="F8" s="90"/>
      <c r="G8" s="90"/>
    </row>
    <row r="9" spans="1:9" x14ac:dyDescent="0.25">
      <c r="B9" s="90" t="s">
        <v>194</v>
      </c>
      <c r="C9" s="77">
        <v>0.1</v>
      </c>
      <c r="D9" s="90"/>
      <c r="E9" s="90"/>
      <c r="F9" s="90"/>
      <c r="G9" s="90"/>
    </row>
    <row r="10" spans="1:9" x14ac:dyDescent="0.25">
      <c r="B10" s="90"/>
      <c r="C10" s="90"/>
      <c r="D10" s="90"/>
      <c r="E10" s="90"/>
      <c r="F10" s="90"/>
      <c r="G10" s="90"/>
    </row>
    <row r="11" spans="1:9" x14ac:dyDescent="0.25">
      <c r="B11" s="90" t="s">
        <v>196</v>
      </c>
      <c r="C11" s="50" t="s">
        <v>197</v>
      </c>
      <c r="D11" s="90"/>
      <c r="E11" s="90"/>
      <c r="F11" s="90"/>
      <c r="G11" s="90"/>
    </row>
    <row r="12" spans="1:9" x14ac:dyDescent="0.25">
      <c r="B12" s="90"/>
      <c r="C12" s="90"/>
      <c r="D12" s="90"/>
      <c r="E12" s="90"/>
      <c r="F12" s="90"/>
      <c r="G12" s="90"/>
    </row>
    <row r="13" spans="1:9" x14ac:dyDescent="0.25">
      <c r="B13" s="90" t="s">
        <v>245</v>
      </c>
      <c r="C13" s="35">
        <f>Servidores!I1</f>
        <v>8</v>
      </c>
      <c r="D13" s="90"/>
      <c r="E13" s="90"/>
      <c r="F13" s="90"/>
      <c r="G13" s="90"/>
    </row>
    <row r="14" spans="1:9" x14ac:dyDescent="0.25">
      <c r="B14" s="90"/>
      <c r="C14" s="90"/>
      <c r="D14" s="90"/>
      <c r="E14" s="90"/>
      <c r="F14" s="90"/>
      <c r="G14" s="90"/>
    </row>
    <row r="15" spans="1:9" x14ac:dyDescent="0.25">
      <c r="B15" s="90"/>
      <c r="C15" s="90"/>
      <c r="D15" s="90"/>
      <c r="E15" s="90"/>
      <c r="F15" s="90"/>
      <c r="G15" s="90"/>
    </row>
    <row r="16" spans="1:9" x14ac:dyDescent="0.25">
      <c r="B16" s="90"/>
      <c r="C16" s="90"/>
      <c r="D16" s="90"/>
      <c r="E16" s="90"/>
      <c r="F16" s="90"/>
      <c r="G16" s="90"/>
    </row>
    <row r="17" spans="2:7" x14ac:dyDescent="0.25">
      <c r="B17" s="90"/>
      <c r="C17" s="90"/>
      <c r="D17" s="90"/>
      <c r="E17" s="90"/>
      <c r="F17" s="90"/>
      <c r="G17" s="90"/>
    </row>
    <row r="18" spans="2:7" x14ac:dyDescent="0.25">
      <c r="B18" s="90"/>
      <c r="C18" s="90"/>
      <c r="D18" s="90"/>
      <c r="E18" s="90"/>
      <c r="F18" s="90"/>
      <c r="G18" s="90"/>
    </row>
    <row r="19" spans="2:7" x14ac:dyDescent="0.25">
      <c r="B19" s="90"/>
      <c r="C19" s="90"/>
      <c r="D19" s="90"/>
      <c r="E19" s="90"/>
      <c r="F19" s="90"/>
      <c r="G19" s="90"/>
    </row>
    <row r="20" spans="2:7" x14ac:dyDescent="0.25">
      <c r="B20" s="90"/>
      <c r="C20" s="90"/>
      <c r="D20" s="90"/>
      <c r="E20" s="90"/>
      <c r="F20" s="90"/>
      <c r="G20" s="90"/>
    </row>
    <row r="21" spans="2:7" x14ac:dyDescent="0.25">
      <c r="B21" s="90"/>
      <c r="C21" s="90"/>
      <c r="D21" s="90"/>
      <c r="E21" s="90"/>
      <c r="F21" s="90"/>
      <c r="G21" s="90"/>
    </row>
    <row r="22" spans="2:7" x14ac:dyDescent="0.25">
      <c r="B22" s="90"/>
      <c r="C22" s="90"/>
      <c r="D22" s="90"/>
      <c r="E22" s="90"/>
      <c r="F22" s="90"/>
      <c r="G22" s="90"/>
    </row>
    <row r="23" spans="2:7" x14ac:dyDescent="0.25">
      <c r="B23" s="90"/>
      <c r="C23" s="90"/>
      <c r="D23" s="90"/>
      <c r="E23" s="90"/>
      <c r="F23" s="90"/>
      <c r="G23" s="90"/>
    </row>
  </sheetData>
  <mergeCells count="3">
    <mergeCell ref="A1:C1"/>
    <mergeCell ref="D1:E1"/>
    <mergeCell ref="B2:C2"/>
  </mergeCells>
  <dataValidations count="1">
    <dataValidation type="list" allowBlank="1" showInputMessage="1" showErrorMessage="1" sqref="C11">
      <formula1>AlgoritmosCruce</formula1>
    </dataValidation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FF00"/>
  </sheetPr>
  <dimension ref="A1:Z38"/>
  <sheetViews>
    <sheetView showGridLines="0" zoomScale="115" zoomScaleNormal="115" workbookViewId="0">
      <selection activeCell="F10" sqref="F10:Z10"/>
    </sheetView>
  </sheetViews>
  <sheetFormatPr baseColWidth="10" defaultRowHeight="15" x14ac:dyDescent="0.25"/>
  <cols>
    <col min="1" max="1" width="2.140625" customWidth="1"/>
    <col min="2" max="2" width="30.28515625" customWidth="1"/>
    <col min="3" max="3" width="32.5703125" bestFit="1" customWidth="1"/>
    <col min="4" max="4" width="18.140625" bestFit="1" customWidth="1"/>
    <col min="5" max="5" width="32.5703125" bestFit="1" customWidth="1"/>
    <col min="6" max="24" width="20.7109375" customWidth="1"/>
    <col min="26" max="26" width="18" bestFit="1" customWidth="1"/>
  </cols>
  <sheetData>
    <row r="1" spans="1:26" s="12" customFormat="1" ht="86.25" customHeight="1" x14ac:dyDescent="0.2">
      <c r="A1" s="155"/>
      <c r="B1" s="155"/>
      <c r="C1" s="155"/>
      <c r="D1" s="30"/>
      <c r="E1" s="155"/>
      <c r="F1" s="155"/>
      <c r="G1" s="92" t="s">
        <v>152</v>
      </c>
      <c r="H1" s="82">
        <f>SUM('Sup. gravitación &amp; evolución'!H3:H22)</f>
        <v>303.5025</v>
      </c>
      <c r="I1" s="92" t="s">
        <v>153</v>
      </c>
      <c r="J1" s="82">
        <f>B3*C3</f>
        <v>1035</v>
      </c>
      <c r="K1" s="92" t="s">
        <v>154</v>
      </c>
      <c r="L1" s="11" t="str">
        <f>IF(H1&lt;J1,"Factible","Infactible")</f>
        <v>Factible</v>
      </c>
      <c r="M1" s="92" t="s">
        <v>177</v>
      </c>
      <c r="N1" s="99">
        <f ca="1">COUNT(F5:Y5)</f>
        <v>8</v>
      </c>
      <c r="O1" s="92" t="s">
        <v>179</v>
      </c>
      <c r="P1" s="99">
        <f ca="1">FACT(N1)</f>
        <v>40320</v>
      </c>
    </row>
    <row r="2" spans="1:26" x14ac:dyDescent="0.25">
      <c r="B2" s="13" t="s">
        <v>82</v>
      </c>
      <c r="C2" s="13" t="s">
        <v>81</v>
      </c>
      <c r="D2" s="13"/>
    </row>
    <row r="3" spans="1:26" x14ac:dyDescent="0.25">
      <c r="B3" s="33">
        <v>45</v>
      </c>
      <c r="C3" s="33">
        <v>23</v>
      </c>
    </row>
    <row r="4" spans="1:26" x14ac:dyDescent="0.25">
      <c r="F4" s="91" t="s">
        <v>156</v>
      </c>
      <c r="G4" s="91" t="s">
        <v>157</v>
      </c>
      <c r="H4" s="91" t="s">
        <v>158</v>
      </c>
      <c r="I4" s="91" t="s">
        <v>159</v>
      </c>
      <c r="J4" s="91" t="s">
        <v>160</v>
      </c>
      <c r="K4" s="91" t="s">
        <v>161</v>
      </c>
      <c r="L4" s="91" t="s">
        <v>162</v>
      </c>
      <c r="M4" s="91" t="s">
        <v>163</v>
      </c>
      <c r="N4" s="91" t="s">
        <v>164</v>
      </c>
      <c r="O4" s="91" t="s">
        <v>165</v>
      </c>
      <c r="P4" s="91" t="s">
        <v>166</v>
      </c>
      <c r="Q4" s="91" t="s">
        <v>167</v>
      </c>
      <c r="R4" s="91" t="s">
        <v>168</v>
      </c>
      <c r="S4" s="91" t="s">
        <v>169</v>
      </c>
      <c r="T4" s="91" t="s">
        <v>170</v>
      </c>
      <c r="U4" s="91" t="s">
        <v>171</v>
      </c>
      <c r="V4" s="91" t="s">
        <v>172</v>
      </c>
      <c r="W4" s="91" t="s">
        <v>173</v>
      </c>
      <c r="X4" s="91" t="s">
        <v>174</v>
      </c>
      <c r="Y4" s="91" t="s">
        <v>175</v>
      </c>
    </row>
    <row r="5" spans="1:26" x14ac:dyDescent="0.25">
      <c r="E5" s="97" t="s">
        <v>176</v>
      </c>
      <c r="F5" s="96">
        <f ca="1">IF(COLUMN(F5)-5&lt;='Parámetros Servidores'!$J$1,RAND(),"")</f>
        <v>0.84943752204249823</v>
      </c>
      <c r="G5" s="96">
        <f ca="1">IF(COLUMN(G5)-5&lt;='Parámetros Servidores'!$J$1,RAND(),"")</f>
        <v>1.3848373640849454E-2</v>
      </c>
      <c r="H5" s="96">
        <f ca="1">IF(COLUMN(H5)-5&lt;='Parámetros Servidores'!$J$1,RAND(),"")</f>
        <v>0.7275462730366683</v>
      </c>
      <c r="I5" s="96">
        <f ca="1">IF(COLUMN(I5)-5&lt;='Parámetros Servidores'!$J$1,RAND(),"")</f>
        <v>0.45725597170457932</v>
      </c>
      <c r="J5" s="96">
        <f ca="1">IF(COLUMN(J5)-5&lt;='Parámetros Servidores'!$J$1,RAND(),"")</f>
        <v>0.51000668518594428</v>
      </c>
      <c r="K5" s="96">
        <f ca="1">IF(COLUMN(K5)-5&lt;='Parámetros Servidores'!$J$1,RAND(),"")</f>
        <v>0.40988328815991393</v>
      </c>
      <c r="L5" s="96">
        <f ca="1">IF(COLUMN(L5)-5&lt;='Parámetros Servidores'!$J$1,RAND(),"")</f>
        <v>0.79414416878001703</v>
      </c>
      <c r="M5" s="96">
        <f ca="1">IF(COLUMN(M5)-5&lt;='Parámetros Servidores'!$J$1,RAND(),"")</f>
        <v>0.89158773088814369</v>
      </c>
      <c r="N5" s="96" t="str">
        <f ca="1">IF(COLUMN(N5)-5&lt;='Parámetros Servidores'!$J$1,RAND(),"")</f>
        <v/>
      </c>
      <c r="O5" s="96" t="str">
        <f ca="1">IF(COLUMN(O5)-5&lt;='Parámetros Servidores'!$J$1,RAND(),"")</f>
        <v/>
      </c>
      <c r="P5" s="96" t="str">
        <f ca="1">IF(COLUMN(P5)-5&lt;='Parámetros Servidores'!$J$1,RAND(),"")</f>
        <v/>
      </c>
      <c r="Q5" s="96" t="str">
        <f ca="1">IF(COLUMN(Q5)-5&lt;='Parámetros Servidores'!$J$1,RAND(),"")</f>
        <v/>
      </c>
      <c r="R5" s="96" t="str">
        <f ca="1">IF(COLUMN(R5)-5&lt;='Parámetros Servidores'!$J$1,RAND(),"")</f>
        <v/>
      </c>
      <c r="S5" s="96" t="str">
        <f ca="1">IF(COLUMN(S5)-5&lt;='Parámetros Servidores'!$J$1,RAND(),"")</f>
        <v/>
      </c>
      <c r="T5" s="96" t="str">
        <f ca="1">IF(COLUMN(T5)-5&lt;='Parámetros Servidores'!$J$1,RAND(),"")</f>
        <v/>
      </c>
      <c r="U5" s="96" t="str">
        <f ca="1">IF(COLUMN(U5)-5&lt;='Parámetros Servidores'!$J$1,RAND(),"")</f>
        <v/>
      </c>
      <c r="V5" s="96" t="str">
        <f ca="1">IF(COLUMN(V5)-5&lt;='Parámetros Servidores'!$J$1,RAND(),"")</f>
        <v/>
      </c>
      <c r="W5" s="96" t="str">
        <f ca="1">IF(COLUMN(W5)-5&lt;='Parámetros Servidores'!$J$1,RAND(),"")</f>
        <v/>
      </c>
      <c r="X5" s="96" t="str">
        <f ca="1">IF(COLUMN(X5)-5&lt;='Parámetros Servidores'!$J$1,RAND(),"")</f>
        <v/>
      </c>
      <c r="Y5" s="96" t="str">
        <f ca="1">IF(COLUMN(Y5)-5&lt;='Parámetros Servidores'!$J$1,RAND(),"")</f>
        <v/>
      </c>
    </row>
    <row r="6" spans="1:26" x14ac:dyDescent="0.25">
      <c r="E6" s="97" t="s">
        <v>178</v>
      </c>
      <c r="F6" s="95">
        <f ca="1">IFERROR(RANK(F5,$F$5:$Y$5,0),"")</f>
        <v>2</v>
      </c>
      <c r="G6" s="95">
        <f t="shared" ref="G6:Y6" ca="1" si="0">IFERROR(RANK(G5,$F$5:$Y$5,0),"")</f>
        <v>8</v>
      </c>
      <c r="H6" s="95">
        <f t="shared" ca="1" si="0"/>
        <v>4</v>
      </c>
      <c r="I6" s="95">
        <f t="shared" ca="1" si="0"/>
        <v>6</v>
      </c>
      <c r="J6" s="95">
        <f t="shared" ca="1" si="0"/>
        <v>5</v>
      </c>
      <c r="K6" s="95">
        <f t="shared" ca="1" si="0"/>
        <v>7</v>
      </c>
      <c r="L6" s="95">
        <f t="shared" ca="1" si="0"/>
        <v>3</v>
      </c>
      <c r="M6" s="95">
        <f t="shared" ca="1" si="0"/>
        <v>1</v>
      </c>
      <c r="N6" s="95" t="str">
        <f t="shared" ca="1" si="0"/>
        <v/>
      </c>
      <c r="O6" s="95" t="str">
        <f t="shared" ca="1" si="0"/>
        <v/>
      </c>
      <c r="P6" s="95" t="str">
        <f t="shared" ca="1" si="0"/>
        <v/>
      </c>
      <c r="Q6" s="95" t="str">
        <f t="shared" ca="1" si="0"/>
        <v/>
      </c>
      <c r="R6" s="95" t="str">
        <f t="shared" ca="1" si="0"/>
        <v/>
      </c>
      <c r="S6" s="95" t="str">
        <f t="shared" ca="1" si="0"/>
        <v/>
      </c>
      <c r="T6" s="95" t="str">
        <f t="shared" ca="1" si="0"/>
        <v/>
      </c>
      <c r="U6" s="95" t="str">
        <f t="shared" ca="1" si="0"/>
        <v/>
      </c>
      <c r="V6" s="95" t="str">
        <f t="shared" ca="1" si="0"/>
        <v/>
      </c>
      <c r="W6" s="95" t="str">
        <f t="shared" ca="1" si="0"/>
        <v/>
      </c>
      <c r="X6" s="95" t="str">
        <f t="shared" ca="1" si="0"/>
        <v/>
      </c>
      <c r="Y6" s="95" t="str">
        <f t="shared" ca="1" si="0"/>
        <v/>
      </c>
    </row>
    <row r="7" spans="1:26" x14ac:dyDescent="0.25">
      <c r="E7" s="97" t="s">
        <v>220</v>
      </c>
      <c r="F7" s="94" t="str">
        <f t="shared" ref="F7:Y7" ca="1" si="1">VLOOKUP(F6,TablaEstaciones,2,FALSE)</f>
        <v>Estación pulido</v>
      </c>
      <c r="G7" s="94" t="str">
        <f t="shared" ca="1" si="1"/>
        <v>Estación inspección</v>
      </c>
      <c r="H7" s="94" t="str">
        <f t="shared" ca="1" si="1"/>
        <v>Estación limado</v>
      </c>
      <c r="I7" s="94" t="str">
        <f t="shared" ca="1" si="1"/>
        <v>Bodega materia prima</v>
      </c>
      <c r="J7" s="94" t="str">
        <f t="shared" ca="1" si="1"/>
        <v>Estación empaque</v>
      </c>
      <c r="K7" s="94" t="str">
        <f t="shared" ca="1" si="1"/>
        <v>Bodega producto terminado</v>
      </c>
      <c r="L7" s="94" t="str">
        <f t="shared" ca="1" si="1"/>
        <v>Estación fresado</v>
      </c>
      <c r="M7" s="94" t="str">
        <f t="shared" ca="1" si="1"/>
        <v>Estación torneado</v>
      </c>
      <c r="N7" s="94" t="str">
        <f t="shared" ca="1" si="1"/>
        <v/>
      </c>
      <c r="O7" s="94" t="str">
        <f t="shared" ca="1" si="1"/>
        <v/>
      </c>
      <c r="P7" s="94" t="str">
        <f t="shared" ca="1" si="1"/>
        <v/>
      </c>
      <c r="Q7" s="94" t="str">
        <f t="shared" ca="1" si="1"/>
        <v/>
      </c>
      <c r="R7" s="94" t="str">
        <f t="shared" ca="1" si="1"/>
        <v/>
      </c>
      <c r="S7" s="94" t="str">
        <f t="shared" ca="1" si="1"/>
        <v/>
      </c>
      <c r="T7" s="94" t="str">
        <f t="shared" ca="1" si="1"/>
        <v/>
      </c>
      <c r="U7" s="94" t="str">
        <f t="shared" ca="1" si="1"/>
        <v/>
      </c>
      <c r="V7" s="94" t="str">
        <f t="shared" ca="1" si="1"/>
        <v/>
      </c>
      <c r="W7" s="94" t="str">
        <f t="shared" ca="1" si="1"/>
        <v/>
      </c>
      <c r="X7" s="94" t="str">
        <f t="shared" ca="1" si="1"/>
        <v/>
      </c>
      <c r="Y7" s="94" t="str">
        <f t="shared" ca="1" si="1"/>
        <v/>
      </c>
    </row>
    <row r="8" spans="1:26" x14ac:dyDescent="0.25">
      <c r="E8" s="97"/>
      <c r="F8" s="124" t="s">
        <v>221</v>
      </c>
      <c r="G8" s="124" t="s">
        <v>222</v>
      </c>
      <c r="H8" s="124" t="s">
        <v>223</v>
      </c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</row>
    <row r="9" spans="1:26" x14ac:dyDescent="0.25">
      <c r="E9" s="97"/>
      <c r="F9" s="137">
        <v>1</v>
      </c>
      <c r="G9" s="137">
        <v>3</v>
      </c>
      <c r="H9" s="137">
        <v>4</v>
      </c>
      <c r="I9" s="137">
        <v>2</v>
      </c>
      <c r="J9" s="137">
        <v>6</v>
      </c>
      <c r="K9" s="137">
        <v>7</v>
      </c>
      <c r="L9" s="137">
        <v>5</v>
      </c>
      <c r="M9" s="137">
        <v>8</v>
      </c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</row>
    <row r="10" spans="1:26" x14ac:dyDescent="0.25">
      <c r="E10" s="97" t="s">
        <v>219</v>
      </c>
      <c r="F10" s="93" t="str">
        <f t="shared" ref="F10:Y10" si="2">IFERROR(VLOOKUP(F9,TablaEstaciones,2,FALSE),"")</f>
        <v>Estación torneado</v>
      </c>
      <c r="G10" s="93" t="str">
        <f t="shared" si="2"/>
        <v>Estación fresado</v>
      </c>
      <c r="H10" s="93" t="str">
        <f t="shared" si="2"/>
        <v>Estación limado</v>
      </c>
      <c r="I10" s="93" t="str">
        <f t="shared" si="2"/>
        <v>Estación pulido</v>
      </c>
      <c r="J10" s="93" t="str">
        <f t="shared" si="2"/>
        <v>Bodega materia prima</v>
      </c>
      <c r="K10" s="93" t="str">
        <f t="shared" si="2"/>
        <v>Bodega producto terminado</v>
      </c>
      <c r="L10" s="93" t="str">
        <f t="shared" si="2"/>
        <v>Estación empaque</v>
      </c>
      <c r="M10" s="93" t="str">
        <f t="shared" si="2"/>
        <v>Estación inspección</v>
      </c>
      <c r="N10" s="93" t="str">
        <f t="shared" si="2"/>
        <v/>
      </c>
      <c r="O10" s="93" t="str">
        <f t="shared" si="2"/>
        <v/>
      </c>
      <c r="P10" s="93" t="str">
        <f t="shared" si="2"/>
        <v/>
      </c>
      <c r="Q10" s="93" t="str">
        <f t="shared" si="2"/>
        <v/>
      </c>
      <c r="R10" s="93" t="str">
        <f t="shared" si="2"/>
        <v/>
      </c>
      <c r="S10" s="93" t="str">
        <f t="shared" si="2"/>
        <v/>
      </c>
      <c r="T10" s="93" t="str">
        <f t="shared" si="2"/>
        <v/>
      </c>
      <c r="U10" s="93" t="str">
        <f t="shared" si="2"/>
        <v/>
      </c>
      <c r="V10" s="93" t="str">
        <f t="shared" si="2"/>
        <v/>
      </c>
      <c r="W10" s="93" t="str">
        <f t="shared" si="2"/>
        <v/>
      </c>
      <c r="X10" s="93" t="str">
        <f t="shared" si="2"/>
        <v/>
      </c>
      <c r="Y10" s="93" t="str">
        <f t="shared" si="2"/>
        <v/>
      </c>
      <c r="Z10" s="123">
        <f ca="1">F30</f>
        <v>309202</v>
      </c>
    </row>
    <row r="11" spans="1:26" x14ac:dyDescent="0.25">
      <c r="E11" s="97" t="s">
        <v>200</v>
      </c>
      <c r="F11" s="94" t="str">
        <f t="shared" ref="F11:Y11" si="3">VLOOKUP(F10,TablaDatosEstaciones,2,FALSE)</f>
        <v>Torno</v>
      </c>
      <c r="G11" s="94" t="str">
        <f t="shared" si="3"/>
        <v>Fresadora</v>
      </c>
      <c r="H11" s="94" t="str">
        <f t="shared" si="3"/>
        <v>Limadora</v>
      </c>
      <c r="I11" s="94" t="str">
        <f t="shared" si="3"/>
        <v>Pulidora</v>
      </c>
      <c r="J11" s="94" t="str">
        <f t="shared" si="3"/>
        <v>Bodega A</v>
      </c>
      <c r="K11" s="94" t="str">
        <f t="shared" si="3"/>
        <v>Bodega B</v>
      </c>
      <c r="L11" s="94" t="str">
        <f t="shared" si="3"/>
        <v>Empacador</v>
      </c>
      <c r="M11" s="94" t="str">
        <f t="shared" si="3"/>
        <v>Servidor inspección</v>
      </c>
      <c r="N11" s="94" t="str">
        <f t="shared" si="3"/>
        <v/>
      </c>
      <c r="O11" s="94" t="str">
        <f t="shared" si="3"/>
        <v/>
      </c>
      <c r="P11" s="94" t="str">
        <f t="shared" si="3"/>
        <v/>
      </c>
      <c r="Q11" s="94" t="str">
        <f t="shared" si="3"/>
        <v/>
      </c>
      <c r="R11" s="94" t="str">
        <f t="shared" si="3"/>
        <v/>
      </c>
      <c r="S11" s="94" t="str">
        <f t="shared" si="3"/>
        <v/>
      </c>
      <c r="T11" s="94" t="str">
        <f t="shared" si="3"/>
        <v/>
      </c>
      <c r="U11" s="94" t="str">
        <f t="shared" si="3"/>
        <v/>
      </c>
      <c r="V11" s="94" t="str">
        <f t="shared" si="3"/>
        <v/>
      </c>
      <c r="W11" s="94" t="str">
        <f t="shared" si="3"/>
        <v/>
      </c>
      <c r="X11" s="94" t="str">
        <f t="shared" si="3"/>
        <v/>
      </c>
      <c r="Y11" s="94" t="str">
        <f t="shared" si="3"/>
        <v/>
      </c>
    </row>
    <row r="12" spans="1:26" x14ac:dyDescent="0.25">
      <c r="B12" s="106" t="s">
        <v>199</v>
      </c>
      <c r="C12" s="106" t="s">
        <v>204</v>
      </c>
      <c r="D12" s="106" t="s">
        <v>205</v>
      </c>
      <c r="E12" s="97" t="s">
        <v>202</v>
      </c>
      <c r="F12" s="94">
        <f t="shared" ref="F12:Y12" si="4">VLOOKUP(F10,TablaDatosEstaciones,10,FALSE)</f>
        <v>5</v>
      </c>
      <c r="G12" s="94">
        <f t="shared" si="4"/>
        <v>6</v>
      </c>
      <c r="H12" s="94">
        <f t="shared" si="4"/>
        <v>4</v>
      </c>
      <c r="I12" s="94">
        <f t="shared" si="4"/>
        <v>3</v>
      </c>
      <c r="J12" s="94">
        <f t="shared" si="4"/>
        <v>1</v>
      </c>
      <c r="K12" s="94">
        <f t="shared" si="4"/>
        <v>1</v>
      </c>
      <c r="L12" s="94">
        <f t="shared" si="4"/>
        <v>1</v>
      </c>
      <c r="M12" s="94">
        <f t="shared" si="4"/>
        <v>2</v>
      </c>
      <c r="N12" s="94" t="str">
        <f t="shared" si="4"/>
        <v/>
      </c>
      <c r="O12" s="94" t="str">
        <f t="shared" si="4"/>
        <v/>
      </c>
      <c r="P12" s="94" t="str">
        <f t="shared" si="4"/>
        <v/>
      </c>
      <c r="Q12" s="94" t="str">
        <f t="shared" si="4"/>
        <v/>
      </c>
      <c r="R12" s="94" t="str">
        <f t="shared" si="4"/>
        <v/>
      </c>
      <c r="S12" s="94" t="str">
        <f t="shared" si="4"/>
        <v/>
      </c>
      <c r="T12" s="94" t="str">
        <f t="shared" si="4"/>
        <v/>
      </c>
      <c r="U12" s="94" t="str">
        <f t="shared" si="4"/>
        <v/>
      </c>
      <c r="V12" s="94" t="str">
        <f t="shared" si="4"/>
        <v/>
      </c>
      <c r="W12" s="94" t="str">
        <f t="shared" si="4"/>
        <v/>
      </c>
      <c r="X12" s="94" t="str">
        <f t="shared" si="4"/>
        <v/>
      </c>
      <c r="Y12" s="94" t="str">
        <f t="shared" si="4"/>
        <v/>
      </c>
    </row>
    <row r="13" spans="1:26" x14ac:dyDescent="0.25">
      <c r="B13" s="108">
        <f>IF(ROW(B13)-12&lt;=MAX($F$27:$Y$27),ROW(B13)-12,"")</f>
        <v>1</v>
      </c>
      <c r="C13" s="109">
        <f t="array" ref="C13">IF(B13="","",MAX(IF($F$27:$Y$27=B13,$F$14:$Y$14)))</f>
        <v>7.2799999999999994</v>
      </c>
      <c r="D13" s="109">
        <f>IF(C13="","",C13)</f>
        <v>7.2799999999999994</v>
      </c>
      <c r="E13" s="97" t="s">
        <v>82</v>
      </c>
      <c r="F13" s="101">
        <f t="shared" ref="F13:Y13" si="5">IFERROR(ROUNDUP(VLOOKUP(F10,TablaDatosEstaciones,8,FALSE),2),"")</f>
        <v>9.6999999999999993</v>
      </c>
      <c r="G13" s="101">
        <f t="shared" si="5"/>
        <v>6.8999999999999995</v>
      </c>
      <c r="H13" s="101">
        <f t="shared" si="5"/>
        <v>7.51</v>
      </c>
      <c r="I13" s="101">
        <f t="shared" si="5"/>
        <v>9.76</v>
      </c>
      <c r="J13" s="101">
        <f t="shared" si="5"/>
        <v>5.42</v>
      </c>
      <c r="K13" s="101">
        <f t="shared" si="5"/>
        <v>5.42</v>
      </c>
      <c r="L13" s="101">
        <f t="shared" si="5"/>
        <v>2.2999999999999998</v>
      </c>
      <c r="M13" s="101">
        <f t="shared" si="5"/>
        <v>5.3199999999999994</v>
      </c>
      <c r="N13" s="101" t="str">
        <f t="shared" si="5"/>
        <v/>
      </c>
      <c r="O13" s="101" t="str">
        <f t="shared" si="5"/>
        <v/>
      </c>
      <c r="P13" s="101" t="str">
        <f t="shared" si="5"/>
        <v/>
      </c>
      <c r="Q13" s="101" t="str">
        <f t="shared" si="5"/>
        <v/>
      </c>
      <c r="R13" s="101" t="str">
        <f t="shared" si="5"/>
        <v/>
      </c>
      <c r="S13" s="101" t="str">
        <f t="shared" si="5"/>
        <v/>
      </c>
      <c r="T13" s="101" t="str">
        <f t="shared" si="5"/>
        <v/>
      </c>
      <c r="U13" s="101" t="str">
        <f t="shared" si="5"/>
        <v/>
      </c>
      <c r="V13" s="101" t="str">
        <f t="shared" si="5"/>
        <v/>
      </c>
      <c r="W13" s="101" t="str">
        <f t="shared" si="5"/>
        <v/>
      </c>
      <c r="X13" s="101" t="str">
        <f t="shared" si="5"/>
        <v/>
      </c>
      <c r="Y13" s="101" t="str">
        <f t="shared" si="5"/>
        <v/>
      </c>
    </row>
    <row r="14" spans="1:26" x14ac:dyDescent="0.25">
      <c r="B14" s="108">
        <f t="shared" ref="B14:B19" si="6">IF(ROW(B14)-12&lt;=MAX($F$27:$Y$27),ROW(B14)-12,"")</f>
        <v>2</v>
      </c>
      <c r="C14" s="109">
        <f t="array" ref="C14">IF(B14="","",MAX(IF($F$27:$Y$27=B14,$F$14:$Y$14)))</f>
        <v>6.51</v>
      </c>
      <c r="D14" s="109">
        <f t="shared" ref="D14:D19" si="7">IF(C14="","",D13+C14)</f>
        <v>13.79</v>
      </c>
      <c r="E14" s="97" t="s">
        <v>81</v>
      </c>
      <c r="F14" s="101">
        <f t="shared" ref="F14:Y14" si="8">IFERROR(ROUNDUP(VLOOKUP(F10,TablaDatosEstaciones,9,FALSE),2),"")</f>
        <v>7.2799999999999994</v>
      </c>
      <c r="G14" s="101">
        <f t="shared" si="8"/>
        <v>5.9799999999999995</v>
      </c>
      <c r="H14" s="101">
        <f t="shared" si="8"/>
        <v>6.76</v>
      </c>
      <c r="I14" s="101">
        <f t="shared" si="8"/>
        <v>6.51</v>
      </c>
      <c r="J14" s="101">
        <f t="shared" si="8"/>
        <v>4.34</v>
      </c>
      <c r="K14" s="101">
        <f t="shared" si="8"/>
        <v>3.8</v>
      </c>
      <c r="L14" s="101">
        <f t="shared" si="8"/>
        <v>2.2999999999999998</v>
      </c>
      <c r="M14" s="101">
        <f t="shared" si="8"/>
        <v>5.3199999999999994</v>
      </c>
      <c r="N14" s="101" t="str">
        <f t="shared" si="8"/>
        <v/>
      </c>
      <c r="O14" s="101" t="str">
        <f t="shared" si="8"/>
        <v/>
      </c>
      <c r="P14" s="101" t="str">
        <f t="shared" si="8"/>
        <v/>
      </c>
      <c r="Q14" s="101" t="str">
        <f t="shared" si="8"/>
        <v/>
      </c>
      <c r="R14" s="101" t="str">
        <f t="shared" si="8"/>
        <v/>
      </c>
      <c r="S14" s="101" t="str">
        <f t="shared" si="8"/>
        <v/>
      </c>
      <c r="T14" s="101" t="str">
        <f t="shared" si="8"/>
        <v/>
      </c>
      <c r="U14" s="101" t="str">
        <f t="shared" si="8"/>
        <v/>
      </c>
      <c r="V14" s="101" t="str">
        <f t="shared" si="8"/>
        <v/>
      </c>
      <c r="W14" s="101" t="str">
        <f t="shared" si="8"/>
        <v/>
      </c>
      <c r="X14" s="101" t="str">
        <f t="shared" si="8"/>
        <v/>
      </c>
      <c r="Y14" s="101" t="str">
        <f t="shared" si="8"/>
        <v/>
      </c>
    </row>
    <row r="15" spans="1:26" x14ac:dyDescent="0.25">
      <c r="B15" s="108" t="str">
        <f t="shared" si="6"/>
        <v/>
      </c>
      <c r="C15" s="109" t="str">
        <f t="array" ref="C15">IF(B15="","",MAX(IF($F$27:$Y$27=B15,$F$14:$Y$14)))</f>
        <v/>
      </c>
      <c r="D15" s="109" t="str">
        <f t="shared" si="7"/>
        <v/>
      </c>
      <c r="E15" s="97" t="s">
        <v>201</v>
      </c>
      <c r="F15" s="94" t="str">
        <f t="shared" ref="F15:Y15" si="9">IF(VLOOKUP(F10,TablaIconos,3,FALSE)=0,"",VLOOKUP(F10,TablaIconos,3,FALSE))</f>
        <v>Icono.Torno</v>
      </c>
      <c r="G15" s="94" t="str">
        <f t="shared" si="9"/>
        <v>Icono.Fresadora</v>
      </c>
      <c r="H15" s="94" t="str">
        <f t="shared" si="9"/>
        <v>Icono.Pulidora</v>
      </c>
      <c r="I15" s="94" t="str">
        <f t="shared" si="9"/>
        <v>Icono.Pulidora</v>
      </c>
      <c r="J15" s="94" t="str">
        <f t="shared" si="9"/>
        <v>Icono.Inventario.MP</v>
      </c>
      <c r="K15" s="94" t="str">
        <f t="shared" si="9"/>
        <v>Icono.Almacenaje.PT</v>
      </c>
      <c r="L15" s="94" t="str">
        <f t="shared" si="9"/>
        <v>Icono.Empaque</v>
      </c>
      <c r="M15" s="94" t="str">
        <f t="shared" si="9"/>
        <v>Icono.EstacionGenerica</v>
      </c>
      <c r="N15" s="94" t="str">
        <f t="shared" si="9"/>
        <v/>
      </c>
      <c r="O15" s="94" t="str">
        <f t="shared" si="9"/>
        <v/>
      </c>
      <c r="P15" s="94" t="str">
        <f t="shared" si="9"/>
        <v/>
      </c>
      <c r="Q15" s="94" t="str">
        <f t="shared" si="9"/>
        <v/>
      </c>
      <c r="R15" s="94" t="str">
        <f t="shared" si="9"/>
        <v/>
      </c>
      <c r="S15" s="94" t="str">
        <f t="shared" si="9"/>
        <v/>
      </c>
      <c r="T15" s="94" t="str">
        <f t="shared" si="9"/>
        <v/>
      </c>
      <c r="U15" s="94" t="str">
        <f t="shared" si="9"/>
        <v/>
      </c>
      <c r="V15" s="94" t="str">
        <f t="shared" si="9"/>
        <v/>
      </c>
      <c r="W15" s="94" t="str">
        <f t="shared" si="9"/>
        <v/>
      </c>
      <c r="X15" s="94" t="str">
        <f t="shared" si="9"/>
        <v/>
      </c>
      <c r="Y15" s="94" t="str">
        <f t="shared" si="9"/>
        <v/>
      </c>
    </row>
    <row r="16" spans="1:26" x14ac:dyDescent="0.25">
      <c r="B16" s="108" t="str">
        <f t="shared" si="6"/>
        <v/>
      </c>
      <c r="C16" s="109" t="str">
        <f t="array" ref="C16">IF(B16="","",MAX(IF($F$27:$Y$27=B16,$F$14:$Y$14)))</f>
        <v/>
      </c>
      <c r="D16" s="109" t="str">
        <f t="shared" si="7"/>
        <v/>
      </c>
      <c r="E16" s="98" t="s">
        <v>180</v>
      </c>
      <c r="F16" s="111">
        <v>0</v>
      </c>
      <c r="G16" s="110">
        <f>IF(G27=F27,F16,IF(G27="","",VLOOKUP(G27,AnchoBahias,3,FALSE)))</f>
        <v>0</v>
      </c>
      <c r="H16" s="110">
        <f t="shared" ref="H16:Y16" si="10">IF(H27=G27,G16,IF(H27="","",VLOOKUP(G27,AnchoBahias,3,FALSE)))</f>
        <v>0</v>
      </c>
      <c r="I16" s="110">
        <f t="shared" si="10"/>
        <v>7.2799999999999994</v>
      </c>
      <c r="J16" s="110">
        <f t="shared" si="10"/>
        <v>7.2799999999999994</v>
      </c>
      <c r="K16" s="110">
        <f t="shared" si="10"/>
        <v>7.2799999999999994</v>
      </c>
      <c r="L16" s="110">
        <f t="shared" si="10"/>
        <v>7.2799999999999994</v>
      </c>
      <c r="M16" s="110">
        <f t="shared" si="10"/>
        <v>7.2799999999999994</v>
      </c>
      <c r="N16" s="110" t="str">
        <f t="shared" si="10"/>
        <v/>
      </c>
      <c r="O16" s="110" t="str">
        <f t="shared" si="10"/>
        <v/>
      </c>
      <c r="P16" s="110" t="str">
        <f t="shared" si="10"/>
        <v/>
      </c>
      <c r="Q16" s="110" t="str">
        <f t="shared" si="10"/>
        <v/>
      </c>
      <c r="R16" s="110" t="str">
        <f t="shared" si="10"/>
        <v/>
      </c>
      <c r="S16" s="110" t="str">
        <f t="shared" si="10"/>
        <v/>
      </c>
      <c r="T16" s="110" t="str">
        <f t="shared" si="10"/>
        <v/>
      </c>
      <c r="U16" s="110" t="str">
        <f t="shared" si="10"/>
        <v/>
      </c>
      <c r="V16" s="110" t="str">
        <f t="shared" si="10"/>
        <v/>
      </c>
      <c r="W16" s="110" t="str">
        <f t="shared" si="10"/>
        <v/>
      </c>
      <c r="X16" s="110" t="str">
        <f t="shared" si="10"/>
        <v/>
      </c>
      <c r="Y16" s="110" t="str">
        <f t="shared" si="10"/>
        <v/>
      </c>
    </row>
    <row r="17" spans="2:25" x14ac:dyDescent="0.25">
      <c r="B17" s="108" t="str">
        <f t="shared" si="6"/>
        <v/>
      </c>
      <c r="C17" s="109" t="str">
        <f t="array" ref="C17">IF(B17="","",MAX(IF($F$27:$Y$27=B17,$F$14:$Y$14)))</f>
        <v/>
      </c>
      <c r="D17" s="109" t="str">
        <f t="shared" si="7"/>
        <v/>
      </c>
      <c r="E17" s="98" t="s">
        <v>181</v>
      </c>
      <c r="F17" s="111">
        <v>0</v>
      </c>
      <c r="G17" s="110">
        <f>IF(G27=F27,F21,IF(G27="","",0))</f>
        <v>7.2799999999999994</v>
      </c>
      <c r="H17" s="110">
        <f t="shared" ref="H17:Y17" si="11">IF(H27=G27,G21,IF(H27="","",0))</f>
        <v>13.259999999999998</v>
      </c>
      <c r="I17" s="110">
        <f t="shared" si="11"/>
        <v>0</v>
      </c>
      <c r="J17" s="110">
        <f t="shared" si="11"/>
        <v>6.51</v>
      </c>
      <c r="K17" s="110">
        <f t="shared" si="11"/>
        <v>10.85</v>
      </c>
      <c r="L17" s="110">
        <f t="shared" si="11"/>
        <v>14.649999999999999</v>
      </c>
      <c r="M17" s="110">
        <f t="shared" si="11"/>
        <v>16.95</v>
      </c>
      <c r="N17" s="110" t="str">
        <f t="shared" si="11"/>
        <v/>
      </c>
      <c r="O17" s="110" t="str">
        <f t="shared" si="11"/>
        <v/>
      </c>
      <c r="P17" s="110" t="str">
        <f t="shared" si="11"/>
        <v/>
      </c>
      <c r="Q17" s="110" t="str">
        <f t="shared" si="11"/>
        <v/>
      </c>
      <c r="R17" s="110" t="str">
        <f t="shared" si="11"/>
        <v/>
      </c>
      <c r="S17" s="110" t="str">
        <f t="shared" si="11"/>
        <v/>
      </c>
      <c r="T17" s="110" t="str">
        <f t="shared" si="11"/>
        <v/>
      </c>
      <c r="U17" s="110" t="str">
        <f t="shared" si="11"/>
        <v/>
      </c>
      <c r="V17" s="110" t="str">
        <f t="shared" si="11"/>
        <v/>
      </c>
      <c r="W17" s="110" t="str">
        <f t="shared" si="11"/>
        <v/>
      </c>
      <c r="X17" s="110" t="str">
        <f t="shared" si="11"/>
        <v/>
      </c>
      <c r="Y17" s="110" t="str">
        <f t="shared" si="11"/>
        <v/>
      </c>
    </row>
    <row r="18" spans="2:25" x14ac:dyDescent="0.25">
      <c r="B18" s="108" t="str">
        <f t="shared" si="6"/>
        <v/>
      </c>
      <c r="C18" s="109" t="str">
        <f t="array" ref="C18">IF(B18="","",MAX(IF($F$27:$Y$27=B18,$F$14:$Y$14)))</f>
        <v/>
      </c>
      <c r="D18" s="109" t="str">
        <f t="shared" si="7"/>
        <v/>
      </c>
      <c r="E18" s="98" t="s">
        <v>182</v>
      </c>
      <c r="F18" s="111">
        <f>F16+F13</f>
        <v>9.6999999999999993</v>
      </c>
      <c r="G18" s="110">
        <f>IF(G27="","",G16+G13)</f>
        <v>6.8999999999999995</v>
      </c>
      <c r="H18" s="110">
        <f t="shared" ref="H18:Y18" si="12">IF(H27="","",H16+H13)</f>
        <v>7.51</v>
      </c>
      <c r="I18" s="110">
        <f t="shared" si="12"/>
        <v>17.04</v>
      </c>
      <c r="J18" s="110">
        <f t="shared" si="12"/>
        <v>12.7</v>
      </c>
      <c r="K18" s="110">
        <f t="shared" si="12"/>
        <v>12.7</v>
      </c>
      <c r="L18" s="110">
        <f t="shared" si="12"/>
        <v>9.5799999999999983</v>
      </c>
      <c r="M18" s="110">
        <f t="shared" si="12"/>
        <v>12.599999999999998</v>
      </c>
      <c r="N18" s="110" t="str">
        <f t="shared" si="12"/>
        <v/>
      </c>
      <c r="O18" s="110" t="str">
        <f t="shared" si="12"/>
        <v/>
      </c>
      <c r="P18" s="110" t="str">
        <f t="shared" si="12"/>
        <v/>
      </c>
      <c r="Q18" s="110" t="str">
        <f t="shared" si="12"/>
        <v/>
      </c>
      <c r="R18" s="110" t="str">
        <f t="shared" si="12"/>
        <v/>
      </c>
      <c r="S18" s="110" t="str">
        <f t="shared" si="12"/>
        <v/>
      </c>
      <c r="T18" s="110" t="str">
        <f t="shared" si="12"/>
        <v/>
      </c>
      <c r="U18" s="110" t="str">
        <f t="shared" si="12"/>
        <v/>
      </c>
      <c r="V18" s="110" t="str">
        <f t="shared" si="12"/>
        <v/>
      </c>
      <c r="W18" s="110" t="str">
        <f t="shared" si="12"/>
        <v/>
      </c>
      <c r="X18" s="110" t="str">
        <f t="shared" si="12"/>
        <v/>
      </c>
      <c r="Y18" s="110" t="str">
        <f t="shared" si="12"/>
        <v/>
      </c>
    </row>
    <row r="19" spans="2:25" x14ac:dyDescent="0.25">
      <c r="B19" s="108" t="str">
        <f t="shared" si="6"/>
        <v/>
      </c>
      <c r="C19" s="109" t="str">
        <f t="array" ref="C19">IF(B19="","",MAX(IF($F$27:$Y$27=B19,$F$14:$Y$14)))</f>
        <v/>
      </c>
      <c r="D19" s="109" t="str">
        <f t="shared" si="7"/>
        <v/>
      </c>
      <c r="E19" s="98" t="s">
        <v>183</v>
      </c>
      <c r="F19" s="111">
        <f>F17</f>
        <v>0</v>
      </c>
      <c r="G19" s="110">
        <f>IF(G27="","",G17)</f>
        <v>7.2799999999999994</v>
      </c>
      <c r="H19" s="110">
        <f t="shared" ref="H19:Y19" si="13">IF(H27="","",H17)</f>
        <v>13.259999999999998</v>
      </c>
      <c r="I19" s="110">
        <f t="shared" si="13"/>
        <v>0</v>
      </c>
      <c r="J19" s="110">
        <f t="shared" si="13"/>
        <v>6.51</v>
      </c>
      <c r="K19" s="110">
        <f t="shared" si="13"/>
        <v>10.85</v>
      </c>
      <c r="L19" s="110">
        <f t="shared" si="13"/>
        <v>14.649999999999999</v>
      </c>
      <c r="M19" s="110">
        <f t="shared" si="13"/>
        <v>16.95</v>
      </c>
      <c r="N19" s="110" t="str">
        <f t="shared" si="13"/>
        <v/>
      </c>
      <c r="O19" s="110" t="str">
        <f t="shared" si="13"/>
        <v/>
      </c>
      <c r="P19" s="110" t="str">
        <f t="shared" si="13"/>
        <v/>
      </c>
      <c r="Q19" s="110" t="str">
        <f t="shared" si="13"/>
        <v/>
      </c>
      <c r="R19" s="110" t="str">
        <f t="shared" si="13"/>
        <v/>
      </c>
      <c r="S19" s="110" t="str">
        <f t="shared" si="13"/>
        <v/>
      </c>
      <c r="T19" s="110" t="str">
        <f t="shared" si="13"/>
        <v/>
      </c>
      <c r="U19" s="110" t="str">
        <f t="shared" si="13"/>
        <v/>
      </c>
      <c r="V19" s="110" t="str">
        <f t="shared" si="13"/>
        <v/>
      </c>
      <c r="W19" s="110" t="str">
        <f t="shared" si="13"/>
        <v/>
      </c>
      <c r="X19" s="110" t="str">
        <f t="shared" si="13"/>
        <v/>
      </c>
      <c r="Y19" s="110" t="str">
        <f t="shared" si="13"/>
        <v/>
      </c>
    </row>
    <row r="20" spans="2:25" x14ac:dyDescent="0.25">
      <c r="B20" s="90"/>
      <c r="C20" s="90"/>
      <c r="D20" s="90"/>
      <c r="E20" s="98" t="s">
        <v>184</v>
      </c>
      <c r="F20" s="111">
        <f>F16</f>
        <v>0</v>
      </c>
      <c r="G20" s="110">
        <f>IF(G27="","",G16)</f>
        <v>0</v>
      </c>
      <c r="H20" s="110">
        <f t="shared" ref="H20:Y20" si="14">IF(H27="","",H16)</f>
        <v>0</v>
      </c>
      <c r="I20" s="110">
        <f t="shared" si="14"/>
        <v>7.2799999999999994</v>
      </c>
      <c r="J20" s="110">
        <f t="shared" si="14"/>
        <v>7.2799999999999994</v>
      </c>
      <c r="K20" s="110">
        <f t="shared" si="14"/>
        <v>7.2799999999999994</v>
      </c>
      <c r="L20" s="110">
        <f t="shared" si="14"/>
        <v>7.2799999999999994</v>
      </c>
      <c r="M20" s="110">
        <f t="shared" si="14"/>
        <v>7.2799999999999994</v>
      </c>
      <c r="N20" s="110" t="str">
        <f t="shared" si="14"/>
        <v/>
      </c>
      <c r="O20" s="110" t="str">
        <f t="shared" si="14"/>
        <v/>
      </c>
      <c r="P20" s="110" t="str">
        <f t="shared" si="14"/>
        <v/>
      </c>
      <c r="Q20" s="110" t="str">
        <f t="shared" si="14"/>
        <v/>
      </c>
      <c r="R20" s="110" t="str">
        <f t="shared" si="14"/>
        <v/>
      </c>
      <c r="S20" s="110" t="str">
        <f t="shared" si="14"/>
        <v/>
      </c>
      <c r="T20" s="110" t="str">
        <f t="shared" si="14"/>
        <v/>
      </c>
      <c r="U20" s="110" t="str">
        <f t="shared" si="14"/>
        <v/>
      </c>
      <c r="V20" s="110" t="str">
        <f t="shared" si="14"/>
        <v/>
      </c>
      <c r="W20" s="110" t="str">
        <f t="shared" si="14"/>
        <v/>
      </c>
      <c r="X20" s="110" t="str">
        <f t="shared" si="14"/>
        <v/>
      </c>
      <c r="Y20" s="110" t="str">
        <f t="shared" si="14"/>
        <v/>
      </c>
    </row>
    <row r="21" spans="2:25" x14ac:dyDescent="0.25">
      <c r="E21" s="98" t="s">
        <v>185</v>
      </c>
      <c r="F21" s="111">
        <f>F26</f>
        <v>7.2799999999999994</v>
      </c>
      <c r="G21" s="105">
        <f>IF(G27="","",G26)</f>
        <v>13.259999999999998</v>
      </c>
      <c r="H21" s="105">
        <f t="shared" ref="H21:Y21" si="15">IF(H27="","",H26)</f>
        <v>20.019999999999996</v>
      </c>
      <c r="I21" s="105">
        <f t="shared" si="15"/>
        <v>6.51</v>
      </c>
      <c r="J21" s="105">
        <f t="shared" si="15"/>
        <v>10.85</v>
      </c>
      <c r="K21" s="105">
        <f t="shared" si="15"/>
        <v>14.649999999999999</v>
      </c>
      <c r="L21" s="105">
        <f t="shared" si="15"/>
        <v>16.95</v>
      </c>
      <c r="M21" s="105">
        <f t="shared" si="15"/>
        <v>22.27</v>
      </c>
      <c r="N21" s="105" t="str">
        <f t="shared" si="15"/>
        <v/>
      </c>
      <c r="O21" s="105" t="str">
        <f t="shared" si="15"/>
        <v/>
      </c>
      <c r="P21" s="105" t="str">
        <f t="shared" si="15"/>
        <v/>
      </c>
      <c r="Q21" s="105" t="str">
        <f t="shared" si="15"/>
        <v/>
      </c>
      <c r="R21" s="105" t="str">
        <f t="shared" si="15"/>
        <v/>
      </c>
      <c r="S21" s="105" t="str">
        <f t="shared" si="15"/>
        <v/>
      </c>
      <c r="T21" s="105" t="str">
        <f t="shared" si="15"/>
        <v/>
      </c>
      <c r="U21" s="105" t="str">
        <f t="shared" si="15"/>
        <v/>
      </c>
      <c r="V21" s="105" t="str">
        <f t="shared" si="15"/>
        <v/>
      </c>
      <c r="W21" s="105" t="str">
        <f t="shared" si="15"/>
        <v/>
      </c>
      <c r="X21" s="105" t="str">
        <f t="shared" si="15"/>
        <v/>
      </c>
      <c r="Y21" s="105" t="str">
        <f t="shared" si="15"/>
        <v/>
      </c>
    </row>
    <row r="22" spans="2:25" x14ac:dyDescent="0.25">
      <c r="E22" s="98" t="s">
        <v>186</v>
      </c>
      <c r="F22" s="111">
        <f>F18</f>
        <v>9.6999999999999993</v>
      </c>
      <c r="G22" s="110">
        <f>IF(G27="","",G18)</f>
        <v>6.8999999999999995</v>
      </c>
      <c r="H22" s="110">
        <f t="shared" ref="H22:Y22" si="16">IF(H27="","",H18)</f>
        <v>7.51</v>
      </c>
      <c r="I22" s="110">
        <f t="shared" si="16"/>
        <v>17.04</v>
      </c>
      <c r="J22" s="110">
        <f t="shared" si="16"/>
        <v>12.7</v>
      </c>
      <c r="K22" s="110">
        <f t="shared" si="16"/>
        <v>12.7</v>
      </c>
      <c r="L22" s="110">
        <f t="shared" si="16"/>
        <v>9.5799999999999983</v>
      </c>
      <c r="M22" s="110">
        <f t="shared" si="16"/>
        <v>12.599999999999998</v>
      </c>
      <c r="N22" s="110" t="str">
        <f t="shared" si="16"/>
        <v/>
      </c>
      <c r="O22" s="110" t="str">
        <f t="shared" si="16"/>
        <v/>
      </c>
      <c r="P22" s="110" t="str">
        <f t="shared" si="16"/>
        <v/>
      </c>
      <c r="Q22" s="110" t="str">
        <f t="shared" si="16"/>
        <v/>
      </c>
      <c r="R22" s="110" t="str">
        <f t="shared" si="16"/>
        <v/>
      </c>
      <c r="S22" s="110" t="str">
        <f t="shared" si="16"/>
        <v/>
      </c>
      <c r="T22" s="110" t="str">
        <f t="shared" si="16"/>
        <v/>
      </c>
      <c r="U22" s="110" t="str">
        <f t="shared" si="16"/>
        <v/>
      </c>
      <c r="V22" s="110" t="str">
        <f t="shared" si="16"/>
        <v/>
      </c>
      <c r="W22" s="110" t="str">
        <f t="shared" si="16"/>
        <v/>
      </c>
      <c r="X22" s="110" t="str">
        <f t="shared" si="16"/>
        <v/>
      </c>
      <c r="Y22" s="110" t="str">
        <f t="shared" si="16"/>
        <v/>
      </c>
    </row>
    <row r="23" spans="2:25" x14ac:dyDescent="0.25">
      <c r="E23" s="98" t="s">
        <v>187</v>
      </c>
      <c r="F23" s="111">
        <f>F21</f>
        <v>7.2799999999999994</v>
      </c>
      <c r="G23" s="105">
        <f>IF(G27="","",G21)</f>
        <v>13.259999999999998</v>
      </c>
      <c r="H23" s="105">
        <f t="shared" ref="H23:Y23" si="17">IF(H27="","",H21)</f>
        <v>20.019999999999996</v>
      </c>
      <c r="I23" s="105">
        <f t="shared" si="17"/>
        <v>6.51</v>
      </c>
      <c r="J23" s="105">
        <f t="shared" si="17"/>
        <v>10.85</v>
      </c>
      <c r="K23" s="105">
        <f t="shared" si="17"/>
        <v>14.649999999999999</v>
      </c>
      <c r="L23" s="105">
        <f t="shared" si="17"/>
        <v>16.95</v>
      </c>
      <c r="M23" s="105">
        <f t="shared" si="17"/>
        <v>22.27</v>
      </c>
      <c r="N23" s="105" t="str">
        <f t="shared" si="17"/>
        <v/>
      </c>
      <c r="O23" s="105" t="str">
        <f t="shared" si="17"/>
        <v/>
      </c>
      <c r="P23" s="105" t="str">
        <f t="shared" si="17"/>
        <v/>
      </c>
      <c r="Q23" s="105" t="str">
        <f t="shared" si="17"/>
        <v/>
      </c>
      <c r="R23" s="105" t="str">
        <f t="shared" si="17"/>
        <v/>
      </c>
      <c r="S23" s="105" t="str">
        <f t="shared" si="17"/>
        <v/>
      </c>
      <c r="T23" s="105" t="str">
        <f t="shared" si="17"/>
        <v/>
      </c>
      <c r="U23" s="105" t="str">
        <f t="shared" si="17"/>
        <v/>
      </c>
      <c r="V23" s="105" t="str">
        <f t="shared" si="17"/>
        <v/>
      </c>
      <c r="W23" s="105" t="str">
        <f t="shared" si="17"/>
        <v/>
      </c>
      <c r="X23" s="105" t="str">
        <f t="shared" si="17"/>
        <v/>
      </c>
      <c r="Y23" s="105" t="str">
        <f t="shared" si="17"/>
        <v/>
      </c>
    </row>
    <row r="24" spans="2:25" x14ac:dyDescent="0.25">
      <c r="E24" s="98" t="s">
        <v>188</v>
      </c>
      <c r="F24" s="112">
        <f>IFERROR(AVERAGE(F16,F18),"")</f>
        <v>4.8499999999999996</v>
      </c>
      <c r="G24" s="105">
        <f t="shared" ref="G24:Y24" si="18">IFERROR(AVERAGE(G16,G18),"")</f>
        <v>3.4499999999999997</v>
      </c>
      <c r="H24" s="105">
        <f t="shared" si="18"/>
        <v>3.7549999999999999</v>
      </c>
      <c r="I24" s="105">
        <f t="shared" si="18"/>
        <v>12.16</v>
      </c>
      <c r="J24" s="105">
        <f t="shared" si="18"/>
        <v>9.9899999999999984</v>
      </c>
      <c r="K24" s="105">
        <f t="shared" si="18"/>
        <v>9.9899999999999984</v>
      </c>
      <c r="L24" s="105">
        <f t="shared" si="18"/>
        <v>8.43</v>
      </c>
      <c r="M24" s="105">
        <f t="shared" si="18"/>
        <v>9.9399999999999977</v>
      </c>
      <c r="N24" s="105" t="str">
        <f t="shared" si="18"/>
        <v/>
      </c>
      <c r="O24" s="105" t="str">
        <f t="shared" si="18"/>
        <v/>
      </c>
      <c r="P24" s="105" t="str">
        <f t="shared" si="18"/>
        <v/>
      </c>
      <c r="Q24" s="105" t="str">
        <f t="shared" si="18"/>
        <v/>
      </c>
      <c r="R24" s="105" t="str">
        <f t="shared" si="18"/>
        <v/>
      </c>
      <c r="S24" s="105" t="str">
        <f t="shared" si="18"/>
        <v/>
      </c>
      <c r="T24" s="105" t="str">
        <f t="shared" si="18"/>
        <v/>
      </c>
      <c r="U24" s="105" t="str">
        <f t="shared" si="18"/>
        <v/>
      </c>
      <c r="V24" s="105" t="str">
        <f t="shared" si="18"/>
        <v/>
      </c>
      <c r="W24" s="105" t="str">
        <f t="shared" si="18"/>
        <v/>
      </c>
      <c r="X24" s="105" t="str">
        <f t="shared" si="18"/>
        <v/>
      </c>
      <c r="Y24" s="105" t="str">
        <f t="shared" si="18"/>
        <v/>
      </c>
    </row>
    <row r="25" spans="2:25" x14ac:dyDescent="0.25">
      <c r="E25" s="98" t="s">
        <v>189</v>
      </c>
      <c r="F25" s="112">
        <f>IFERROR(AVERAGE(F17,F21),"")</f>
        <v>3.6399999999999997</v>
      </c>
      <c r="G25" s="105">
        <f t="shared" ref="G25:Y25" si="19">IFERROR(AVERAGE(G17,G21),"")</f>
        <v>10.27</v>
      </c>
      <c r="H25" s="105">
        <f t="shared" si="19"/>
        <v>16.639999999999997</v>
      </c>
      <c r="I25" s="105">
        <f t="shared" si="19"/>
        <v>3.2549999999999999</v>
      </c>
      <c r="J25" s="105">
        <f t="shared" si="19"/>
        <v>8.68</v>
      </c>
      <c r="K25" s="105">
        <f t="shared" si="19"/>
        <v>12.75</v>
      </c>
      <c r="L25" s="105">
        <f t="shared" si="19"/>
        <v>15.799999999999999</v>
      </c>
      <c r="M25" s="105">
        <f t="shared" si="19"/>
        <v>19.61</v>
      </c>
      <c r="N25" s="105" t="str">
        <f t="shared" si="19"/>
        <v/>
      </c>
      <c r="O25" s="105" t="str">
        <f t="shared" si="19"/>
        <v/>
      </c>
      <c r="P25" s="105" t="str">
        <f t="shared" si="19"/>
        <v/>
      </c>
      <c r="Q25" s="105" t="str">
        <f t="shared" si="19"/>
        <v/>
      </c>
      <c r="R25" s="105" t="str">
        <f t="shared" si="19"/>
        <v/>
      </c>
      <c r="S25" s="105" t="str">
        <f t="shared" si="19"/>
        <v/>
      </c>
      <c r="T25" s="105" t="str">
        <f t="shared" si="19"/>
        <v/>
      </c>
      <c r="U25" s="105" t="str">
        <f t="shared" si="19"/>
        <v/>
      </c>
      <c r="V25" s="105" t="str">
        <f t="shared" si="19"/>
        <v/>
      </c>
      <c r="W25" s="105" t="str">
        <f t="shared" si="19"/>
        <v/>
      </c>
      <c r="X25" s="105" t="str">
        <f t="shared" si="19"/>
        <v/>
      </c>
      <c r="Y25" s="105" t="str">
        <f t="shared" si="19"/>
        <v/>
      </c>
    </row>
    <row r="26" spans="2:25" x14ac:dyDescent="0.25">
      <c r="E26" s="98" t="s">
        <v>203</v>
      </c>
      <c r="F26" s="111">
        <f>F14</f>
        <v>7.2799999999999994</v>
      </c>
      <c r="G26" s="105">
        <f>IFERROR(IF(F26+G14&gt;$C$3,G14,G14+F26),"")</f>
        <v>13.259999999999998</v>
      </c>
      <c r="H26" s="105">
        <f t="shared" ref="H26:Y26" si="20">IFERROR(IF(G26+H14&gt;$C$3,H14,H14+G26),"")</f>
        <v>20.019999999999996</v>
      </c>
      <c r="I26" s="105">
        <f t="shared" si="20"/>
        <v>6.51</v>
      </c>
      <c r="J26" s="105">
        <f t="shared" si="20"/>
        <v>10.85</v>
      </c>
      <c r="K26" s="105">
        <f t="shared" si="20"/>
        <v>14.649999999999999</v>
      </c>
      <c r="L26" s="105">
        <f t="shared" si="20"/>
        <v>16.95</v>
      </c>
      <c r="M26" s="105">
        <f t="shared" si="20"/>
        <v>22.27</v>
      </c>
      <c r="N26" s="105" t="str">
        <f t="shared" si="20"/>
        <v/>
      </c>
      <c r="O26" s="105" t="str">
        <f t="shared" si="20"/>
        <v/>
      </c>
      <c r="P26" s="105" t="str">
        <f t="shared" si="20"/>
        <v/>
      </c>
      <c r="Q26" s="105" t="str">
        <f t="shared" si="20"/>
        <v/>
      </c>
      <c r="R26" s="105" t="str">
        <f t="shared" si="20"/>
        <v/>
      </c>
      <c r="S26" s="105" t="str">
        <f t="shared" si="20"/>
        <v/>
      </c>
      <c r="T26" s="105" t="str">
        <f t="shared" si="20"/>
        <v/>
      </c>
      <c r="U26" s="105" t="str">
        <f t="shared" si="20"/>
        <v/>
      </c>
      <c r="V26" s="105" t="str">
        <f t="shared" si="20"/>
        <v/>
      </c>
      <c r="W26" s="105" t="str">
        <f t="shared" si="20"/>
        <v/>
      </c>
      <c r="X26" s="105" t="str">
        <f t="shared" si="20"/>
        <v/>
      </c>
      <c r="Y26" s="105" t="str">
        <f t="shared" si="20"/>
        <v/>
      </c>
    </row>
    <row r="27" spans="2:25" x14ac:dyDescent="0.25">
      <c r="E27" s="98" t="s">
        <v>199</v>
      </c>
      <c r="F27" s="113">
        <v>1</v>
      </c>
      <c r="G27" s="104">
        <f>IFERROR(IF(F26+G14&gt;$C$3,F27+1,F27),"")</f>
        <v>1</v>
      </c>
      <c r="H27" s="104">
        <f t="shared" ref="H27:Y27" si="21">IFERROR(IF(G26+H14&gt;$C$3,G27+1,G27),"")</f>
        <v>1</v>
      </c>
      <c r="I27" s="104">
        <f t="shared" si="21"/>
        <v>2</v>
      </c>
      <c r="J27" s="104">
        <f t="shared" si="21"/>
        <v>2</v>
      </c>
      <c r="K27" s="104">
        <f t="shared" si="21"/>
        <v>2</v>
      </c>
      <c r="L27" s="104">
        <f t="shared" si="21"/>
        <v>2</v>
      </c>
      <c r="M27" s="104">
        <f t="shared" si="21"/>
        <v>2</v>
      </c>
      <c r="N27" s="104" t="str">
        <f t="shared" si="21"/>
        <v/>
      </c>
      <c r="O27" s="104" t="str">
        <f t="shared" si="21"/>
        <v/>
      </c>
      <c r="P27" s="104" t="str">
        <f t="shared" si="21"/>
        <v/>
      </c>
      <c r="Q27" s="104" t="str">
        <f t="shared" si="21"/>
        <v/>
      </c>
      <c r="R27" s="104" t="str">
        <f t="shared" si="21"/>
        <v/>
      </c>
      <c r="S27" s="104" t="str">
        <f t="shared" si="21"/>
        <v/>
      </c>
      <c r="T27" s="104" t="str">
        <f t="shared" si="21"/>
        <v/>
      </c>
      <c r="U27" s="104" t="str">
        <f t="shared" si="21"/>
        <v/>
      </c>
      <c r="V27" s="104" t="str">
        <f t="shared" si="21"/>
        <v/>
      </c>
      <c r="W27" s="104" t="str">
        <f t="shared" si="21"/>
        <v/>
      </c>
      <c r="X27" s="104" t="str">
        <f t="shared" si="21"/>
        <v/>
      </c>
      <c r="Y27" s="104" t="str">
        <f t="shared" si="21"/>
        <v/>
      </c>
    </row>
    <row r="28" spans="2:25" x14ac:dyDescent="0.25">
      <c r="E28" s="98" t="s">
        <v>204</v>
      </c>
      <c r="F28" s="112">
        <f t="shared" ref="F28:Y28" si="22">IFERROR(VLOOKUP(F27,AnchoBahias,2,FALSE),"")</f>
        <v>7.2799999999999994</v>
      </c>
      <c r="G28" s="112">
        <f t="shared" si="22"/>
        <v>7.2799999999999994</v>
      </c>
      <c r="H28" s="112">
        <f t="shared" si="22"/>
        <v>7.2799999999999994</v>
      </c>
      <c r="I28" s="112">
        <f t="shared" si="22"/>
        <v>6.51</v>
      </c>
      <c r="J28" s="112">
        <f t="shared" si="22"/>
        <v>6.51</v>
      </c>
      <c r="K28" s="112">
        <f t="shared" si="22"/>
        <v>6.51</v>
      </c>
      <c r="L28" s="112">
        <f t="shared" si="22"/>
        <v>6.51</v>
      </c>
      <c r="M28" s="112">
        <f t="shared" si="22"/>
        <v>6.51</v>
      </c>
      <c r="N28" s="112" t="str">
        <f t="shared" si="22"/>
        <v/>
      </c>
      <c r="O28" s="112" t="str">
        <f t="shared" si="22"/>
        <v/>
      </c>
      <c r="P28" s="112" t="str">
        <f t="shared" si="22"/>
        <v/>
      </c>
      <c r="Q28" s="112" t="str">
        <f t="shared" si="22"/>
        <v/>
      </c>
      <c r="R28" s="112" t="str">
        <f t="shared" si="22"/>
        <v/>
      </c>
      <c r="S28" s="112" t="str">
        <f t="shared" si="22"/>
        <v/>
      </c>
      <c r="T28" s="112" t="str">
        <f t="shared" si="22"/>
        <v/>
      </c>
      <c r="U28" s="112" t="str">
        <f t="shared" si="22"/>
        <v/>
      </c>
      <c r="V28" s="112" t="str">
        <f t="shared" si="22"/>
        <v/>
      </c>
      <c r="W28" s="112" t="str">
        <f t="shared" si="22"/>
        <v/>
      </c>
      <c r="X28" s="112" t="str">
        <f t="shared" si="22"/>
        <v/>
      </c>
      <c r="Y28" s="112" t="str">
        <f t="shared" si="22"/>
        <v/>
      </c>
    </row>
    <row r="29" spans="2:25" x14ac:dyDescent="0.25">
      <c r="E29" s="98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</row>
    <row r="30" spans="2:25" x14ac:dyDescent="0.25">
      <c r="E30" s="98" t="s">
        <v>216</v>
      </c>
      <c r="F30" s="123">
        <f ca="1">SUMPRODUCT('Matriz de distancias'!E13:X32,'Matriz de tráfico'!C11:V30)*'Throughput Total'!C5</f>
        <v>309202</v>
      </c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</row>
    <row r="31" spans="2:25" x14ac:dyDescent="0.25">
      <c r="E31" s="98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</row>
    <row r="32" spans="2:25" x14ac:dyDescent="0.25">
      <c r="E32" s="98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</row>
    <row r="33" spans="5:25" x14ac:dyDescent="0.25">
      <c r="E33" s="98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</row>
    <row r="34" spans="5:25" x14ac:dyDescent="0.25">
      <c r="E34" s="98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</row>
    <row r="35" spans="5:25" x14ac:dyDescent="0.25">
      <c r="E35" s="98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</row>
    <row r="36" spans="5:25" x14ac:dyDescent="0.25">
      <c r="E36" s="98"/>
    </row>
    <row r="37" spans="5:25" x14ac:dyDescent="0.25">
      <c r="E37" s="98"/>
    </row>
    <row r="38" spans="5:25" x14ac:dyDescent="0.25">
      <c r="E38" s="98"/>
    </row>
  </sheetData>
  <mergeCells count="2">
    <mergeCell ref="A1:C1"/>
    <mergeCell ref="E1:F1"/>
  </mergeCells>
  <conditionalFormatting sqref="L1">
    <cfRule type="cellIs" dxfId="6" priority="1" operator="equal">
      <formula>"Infactible"</formula>
    </cfRule>
    <cfRule type="cellIs" dxfId="5" priority="2" operator="equal">
      <formula>"Factible"</formula>
    </cfRule>
  </conditionalFormatting>
  <pageMargins left="0.7" right="0.7" top="0.75" bottom="0.75" header="0.3" footer="0.3"/>
  <pageSetup paperSize="32767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rgb="FFFFFF00"/>
  </sheetPr>
  <dimension ref="A1:W228"/>
  <sheetViews>
    <sheetView showGridLines="0" workbookViewId="0">
      <selection activeCell="C3" sqref="C3:V3"/>
    </sheetView>
  </sheetViews>
  <sheetFormatPr baseColWidth="10" defaultRowHeight="10.5" x14ac:dyDescent="0.15"/>
  <cols>
    <col min="1" max="1" width="2.140625" style="90" customWidth="1"/>
    <col min="2" max="2" width="15.7109375" style="90" bestFit="1" customWidth="1"/>
    <col min="3" max="3" width="24" style="90" bestFit="1" customWidth="1"/>
    <col min="4" max="22" width="24" style="90" customWidth="1"/>
    <col min="23" max="23" width="15.5703125" style="128" customWidth="1"/>
    <col min="24" max="16384" width="11.42578125" style="90"/>
  </cols>
  <sheetData>
    <row r="1" spans="1:23" s="125" customFormat="1" ht="86.25" customHeight="1" x14ac:dyDescent="0.15">
      <c r="A1" s="159"/>
      <c r="B1" s="159"/>
      <c r="C1" s="159"/>
      <c r="D1" s="159"/>
      <c r="F1" s="51" t="s">
        <v>225</v>
      </c>
      <c r="G1" s="129">
        <f>'Configuración AG'!C3</f>
        <v>100</v>
      </c>
      <c r="H1" s="51" t="s">
        <v>226</v>
      </c>
      <c r="I1" s="139">
        <v>20</v>
      </c>
      <c r="J1" s="51" t="s">
        <v>231</v>
      </c>
      <c r="K1" s="130">
        <f>MIN(W:W)</f>
        <v>309202</v>
      </c>
      <c r="L1" s="51" t="s">
        <v>230</v>
      </c>
      <c r="M1" s="130">
        <f>IFERROR(AVERAGE(W:W),"")</f>
        <v>309202</v>
      </c>
      <c r="W1" s="126"/>
    </row>
    <row r="2" spans="1:23" x14ac:dyDescent="0.15">
      <c r="B2" s="13" t="s">
        <v>227</v>
      </c>
      <c r="C2" s="13" t="str">
        <f>'Layout solución (individuo AG)'!F4</f>
        <v>Elemento # 1</v>
      </c>
      <c r="D2" s="13" t="str">
        <f>'Layout solución (individuo AG)'!G4</f>
        <v>Elemento # 2</v>
      </c>
      <c r="E2" s="13" t="str">
        <f>'Layout solución (individuo AG)'!H4</f>
        <v>Elemento # 3</v>
      </c>
      <c r="F2" s="13" t="str">
        <f>'Layout solución (individuo AG)'!I4</f>
        <v>Elemento # 4</v>
      </c>
      <c r="G2" s="13" t="str">
        <f>'Layout solución (individuo AG)'!J4</f>
        <v>Elemento # 5</v>
      </c>
      <c r="H2" s="13" t="str">
        <f>'Layout solución (individuo AG)'!K4</f>
        <v>Elemento # 6</v>
      </c>
      <c r="I2" s="13" t="str">
        <f>'Layout solución (individuo AG)'!L4</f>
        <v>Elemento # 7</v>
      </c>
      <c r="J2" s="13" t="str">
        <f>'Layout solución (individuo AG)'!M4</f>
        <v>Elemento # 8</v>
      </c>
      <c r="K2" s="13" t="str">
        <f>'Layout solución (individuo AG)'!N4</f>
        <v>Elemento # 9</v>
      </c>
      <c r="L2" s="13" t="str">
        <f>'Layout solución (individuo AG)'!O4</f>
        <v>Elemento # 10</v>
      </c>
      <c r="M2" s="13" t="str">
        <f>'Layout solución (individuo AG)'!P4</f>
        <v>Elemento # 11</v>
      </c>
      <c r="N2" s="13" t="str">
        <f>'Layout solución (individuo AG)'!Q4</f>
        <v>Elemento # 12</v>
      </c>
      <c r="O2" s="13" t="str">
        <f>'Layout solución (individuo AG)'!R4</f>
        <v>Elemento # 13</v>
      </c>
      <c r="P2" s="13" t="str">
        <f>'Layout solución (individuo AG)'!S4</f>
        <v>Elemento # 14</v>
      </c>
      <c r="Q2" s="13" t="str">
        <f>'Layout solución (individuo AG)'!T4</f>
        <v>Elemento # 15</v>
      </c>
      <c r="R2" s="13" t="str">
        <f>'Layout solución (individuo AG)'!U4</f>
        <v>Elemento # 16</v>
      </c>
      <c r="S2" s="13" t="str">
        <f>'Layout solución (individuo AG)'!V4</f>
        <v>Elemento # 17</v>
      </c>
      <c r="T2" s="13" t="str">
        <f>'Layout solución (individuo AG)'!W4</f>
        <v>Elemento # 18</v>
      </c>
      <c r="U2" s="13" t="str">
        <f>'Layout solución (individuo AG)'!X4</f>
        <v>Elemento # 19</v>
      </c>
      <c r="V2" s="13" t="str">
        <f>'Layout solución (individuo AG)'!Y4</f>
        <v>Elemento # 20</v>
      </c>
      <c r="W2" s="127" t="s">
        <v>228</v>
      </c>
    </row>
    <row r="3" spans="1:23" x14ac:dyDescent="0.15">
      <c r="B3" s="21"/>
      <c r="C3" s="90" t="s">
        <v>43</v>
      </c>
      <c r="D3" s="90" t="s">
        <v>45</v>
      </c>
      <c r="E3" s="90" t="s">
        <v>46</v>
      </c>
      <c r="F3" s="90" t="s">
        <v>44</v>
      </c>
      <c r="G3" s="90" t="s">
        <v>48</v>
      </c>
      <c r="H3" s="90" t="s">
        <v>49</v>
      </c>
      <c r="I3" s="90" t="s">
        <v>47</v>
      </c>
      <c r="J3" s="90" t="s">
        <v>50</v>
      </c>
      <c r="K3" s="90" t="s">
        <v>224</v>
      </c>
      <c r="L3" s="90" t="s">
        <v>224</v>
      </c>
      <c r="M3" s="90" t="s">
        <v>224</v>
      </c>
      <c r="N3" s="90" t="s">
        <v>224</v>
      </c>
      <c r="O3" s="90" t="s">
        <v>224</v>
      </c>
      <c r="P3" s="90" t="s">
        <v>224</v>
      </c>
      <c r="Q3" s="90" t="s">
        <v>224</v>
      </c>
      <c r="R3" s="90" t="s">
        <v>224</v>
      </c>
      <c r="S3" s="90" t="s">
        <v>224</v>
      </c>
      <c r="T3" s="90" t="s">
        <v>224</v>
      </c>
      <c r="U3" s="90" t="s">
        <v>224</v>
      </c>
      <c r="V3" s="90" t="s">
        <v>224</v>
      </c>
      <c r="W3" s="128">
        <v>309202</v>
      </c>
    </row>
    <row r="4" spans="1:23" x14ac:dyDescent="0.15">
      <c r="B4" s="21"/>
      <c r="C4" s="90" t="s">
        <v>43</v>
      </c>
      <c r="D4" s="90" t="s">
        <v>45</v>
      </c>
      <c r="E4" s="90" t="s">
        <v>46</v>
      </c>
      <c r="F4" s="90" t="s">
        <v>44</v>
      </c>
      <c r="G4" s="90" t="s">
        <v>48</v>
      </c>
      <c r="H4" s="90" t="s">
        <v>49</v>
      </c>
      <c r="I4" s="90" t="s">
        <v>47</v>
      </c>
      <c r="J4" s="90" t="s">
        <v>50</v>
      </c>
      <c r="K4" s="90" t="s">
        <v>224</v>
      </c>
      <c r="L4" s="90" t="s">
        <v>224</v>
      </c>
      <c r="M4" s="90" t="s">
        <v>224</v>
      </c>
      <c r="N4" s="90" t="s">
        <v>224</v>
      </c>
      <c r="O4" s="90" t="s">
        <v>224</v>
      </c>
      <c r="P4" s="90" t="s">
        <v>224</v>
      </c>
      <c r="Q4" s="90" t="s">
        <v>224</v>
      </c>
      <c r="R4" s="90" t="s">
        <v>224</v>
      </c>
      <c r="S4" s="90" t="s">
        <v>224</v>
      </c>
      <c r="T4" s="90" t="s">
        <v>224</v>
      </c>
      <c r="U4" s="90" t="s">
        <v>224</v>
      </c>
      <c r="V4" s="90" t="s">
        <v>224</v>
      </c>
      <c r="W4" s="128">
        <v>309202</v>
      </c>
    </row>
    <row r="5" spans="1:23" x14ac:dyDescent="0.15">
      <c r="B5" s="21"/>
      <c r="C5" s="90" t="s">
        <v>43</v>
      </c>
      <c r="D5" s="90" t="s">
        <v>45</v>
      </c>
      <c r="E5" s="90" t="s">
        <v>46</v>
      </c>
      <c r="F5" s="90" t="s">
        <v>44</v>
      </c>
      <c r="G5" s="90" t="s">
        <v>48</v>
      </c>
      <c r="H5" s="90" t="s">
        <v>49</v>
      </c>
      <c r="I5" s="90" t="s">
        <v>47</v>
      </c>
      <c r="J5" s="90" t="s">
        <v>50</v>
      </c>
      <c r="K5" s="90" t="s">
        <v>224</v>
      </c>
      <c r="L5" s="90" t="s">
        <v>224</v>
      </c>
      <c r="M5" s="90" t="s">
        <v>224</v>
      </c>
      <c r="N5" s="90" t="s">
        <v>224</v>
      </c>
      <c r="O5" s="90" t="s">
        <v>224</v>
      </c>
      <c r="P5" s="90" t="s">
        <v>224</v>
      </c>
      <c r="Q5" s="90" t="s">
        <v>224</v>
      </c>
      <c r="R5" s="90" t="s">
        <v>224</v>
      </c>
      <c r="S5" s="90" t="s">
        <v>224</v>
      </c>
      <c r="T5" s="90" t="s">
        <v>224</v>
      </c>
      <c r="U5" s="90" t="s">
        <v>224</v>
      </c>
      <c r="V5" s="90" t="s">
        <v>224</v>
      </c>
      <c r="W5" s="128">
        <v>309202</v>
      </c>
    </row>
    <row r="6" spans="1:23" x14ac:dyDescent="0.15">
      <c r="B6" s="21"/>
      <c r="C6" s="90" t="s">
        <v>43</v>
      </c>
      <c r="D6" s="90" t="s">
        <v>45</v>
      </c>
      <c r="E6" s="90" t="s">
        <v>46</v>
      </c>
      <c r="F6" s="90" t="s">
        <v>44</v>
      </c>
      <c r="G6" s="90" t="s">
        <v>48</v>
      </c>
      <c r="H6" s="90" t="s">
        <v>49</v>
      </c>
      <c r="I6" s="90" t="s">
        <v>47</v>
      </c>
      <c r="J6" s="90" t="s">
        <v>50</v>
      </c>
      <c r="K6" s="90" t="s">
        <v>224</v>
      </c>
      <c r="L6" s="90" t="s">
        <v>224</v>
      </c>
      <c r="M6" s="90" t="s">
        <v>224</v>
      </c>
      <c r="N6" s="90" t="s">
        <v>224</v>
      </c>
      <c r="O6" s="90" t="s">
        <v>224</v>
      </c>
      <c r="P6" s="90" t="s">
        <v>224</v>
      </c>
      <c r="Q6" s="90" t="s">
        <v>224</v>
      </c>
      <c r="R6" s="90" t="s">
        <v>224</v>
      </c>
      <c r="S6" s="90" t="s">
        <v>224</v>
      </c>
      <c r="T6" s="90" t="s">
        <v>224</v>
      </c>
      <c r="U6" s="90" t="s">
        <v>224</v>
      </c>
      <c r="V6" s="90" t="s">
        <v>224</v>
      </c>
      <c r="W6" s="128">
        <v>309202</v>
      </c>
    </row>
    <row r="7" spans="1:23" x14ac:dyDescent="0.15">
      <c r="B7" s="21"/>
      <c r="C7" s="90" t="s">
        <v>43</v>
      </c>
      <c r="D7" s="90" t="s">
        <v>45</v>
      </c>
      <c r="E7" s="90" t="s">
        <v>46</v>
      </c>
      <c r="F7" s="90" t="s">
        <v>44</v>
      </c>
      <c r="G7" s="90" t="s">
        <v>48</v>
      </c>
      <c r="H7" s="90" t="s">
        <v>49</v>
      </c>
      <c r="I7" s="90" t="s">
        <v>47</v>
      </c>
      <c r="J7" s="90" t="s">
        <v>50</v>
      </c>
      <c r="K7" s="90" t="s">
        <v>224</v>
      </c>
      <c r="L7" s="90" t="s">
        <v>224</v>
      </c>
      <c r="M7" s="90" t="s">
        <v>224</v>
      </c>
      <c r="N7" s="90" t="s">
        <v>224</v>
      </c>
      <c r="O7" s="90" t="s">
        <v>224</v>
      </c>
      <c r="P7" s="90" t="s">
        <v>224</v>
      </c>
      <c r="Q7" s="90" t="s">
        <v>224</v>
      </c>
      <c r="R7" s="90" t="s">
        <v>224</v>
      </c>
      <c r="S7" s="90" t="s">
        <v>224</v>
      </c>
      <c r="T7" s="90" t="s">
        <v>224</v>
      </c>
      <c r="U7" s="90" t="s">
        <v>224</v>
      </c>
      <c r="V7" s="90" t="s">
        <v>224</v>
      </c>
      <c r="W7" s="128">
        <v>309202</v>
      </c>
    </row>
    <row r="8" spans="1:23" x14ac:dyDescent="0.15">
      <c r="B8" s="21"/>
      <c r="C8" s="90" t="s">
        <v>43</v>
      </c>
      <c r="D8" s="90" t="s">
        <v>45</v>
      </c>
      <c r="E8" s="90" t="s">
        <v>46</v>
      </c>
      <c r="F8" s="90" t="s">
        <v>44</v>
      </c>
      <c r="G8" s="90" t="s">
        <v>48</v>
      </c>
      <c r="H8" s="90" t="s">
        <v>49</v>
      </c>
      <c r="I8" s="90" t="s">
        <v>47</v>
      </c>
      <c r="J8" s="90" t="s">
        <v>50</v>
      </c>
      <c r="K8" s="90" t="s">
        <v>224</v>
      </c>
      <c r="L8" s="90" t="s">
        <v>224</v>
      </c>
      <c r="M8" s="90" t="s">
        <v>224</v>
      </c>
      <c r="N8" s="90" t="s">
        <v>224</v>
      </c>
      <c r="O8" s="90" t="s">
        <v>224</v>
      </c>
      <c r="P8" s="90" t="s">
        <v>224</v>
      </c>
      <c r="Q8" s="90" t="s">
        <v>224</v>
      </c>
      <c r="R8" s="90" t="s">
        <v>224</v>
      </c>
      <c r="S8" s="90" t="s">
        <v>224</v>
      </c>
      <c r="T8" s="90" t="s">
        <v>224</v>
      </c>
      <c r="U8" s="90" t="s">
        <v>224</v>
      </c>
      <c r="V8" s="90" t="s">
        <v>224</v>
      </c>
      <c r="W8" s="128">
        <v>309202</v>
      </c>
    </row>
    <row r="9" spans="1:23" x14ac:dyDescent="0.15">
      <c r="B9" s="21"/>
      <c r="C9" s="90" t="s">
        <v>43</v>
      </c>
      <c r="D9" s="90" t="s">
        <v>45</v>
      </c>
      <c r="E9" s="90" t="s">
        <v>46</v>
      </c>
      <c r="F9" s="90" t="s">
        <v>44</v>
      </c>
      <c r="G9" s="90" t="s">
        <v>48</v>
      </c>
      <c r="H9" s="90" t="s">
        <v>49</v>
      </c>
      <c r="I9" s="90" t="s">
        <v>47</v>
      </c>
      <c r="J9" s="90" t="s">
        <v>50</v>
      </c>
      <c r="K9" s="90" t="s">
        <v>224</v>
      </c>
      <c r="L9" s="90" t="s">
        <v>224</v>
      </c>
      <c r="M9" s="90" t="s">
        <v>224</v>
      </c>
      <c r="N9" s="90" t="s">
        <v>224</v>
      </c>
      <c r="O9" s="90" t="s">
        <v>224</v>
      </c>
      <c r="P9" s="90" t="s">
        <v>224</v>
      </c>
      <c r="Q9" s="90" t="s">
        <v>224</v>
      </c>
      <c r="R9" s="90" t="s">
        <v>224</v>
      </c>
      <c r="S9" s="90" t="s">
        <v>224</v>
      </c>
      <c r="T9" s="90" t="s">
        <v>224</v>
      </c>
      <c r="U9" s="90" t="s">
        <v>224</v>
      </c>
      <c r="V9" s="90" t="s">
        <v>224</v>
      </c>
      <c r="W9" s="128">
        <v>309202</v>
      </c>
    </row>
    <row r="10" spans="1:23" x14ac:dyDescent="0.15">
      <c r="B10" s="21"/>
      <c r="C10" s="90" t="s">
        <v>43</v>
      </c>
      <c r="D10" s="90" t="s">
        <v>45</v>
      </c>
      <c r="E10" s="90" t="s">
        <v>46</v>
      </c>
      <c r="F10" s="90" t="s">
        <v>44</v>
      </c>
      <c r="G10" s="90" t="s">
        <v>48</v>
      </c>
      <c r="H10" s="90" t="s">
        <v>49</v>
      </c>
      <c r="I10" s="90" t="s">
        <v>47</v>
      </c>
      <c r="J10" s="90" t="s">
        <v>50</v>
      </c>
      <c r="K10" s="90" t="s">
        <v>224</v>
      </c>
      <c r="L10" s="90" t="s">
        <v>224</v>
      </c>
      <c r="M10" s="90" t="s">
        <v>224</v>
      </c>
      <c r="N10" s="90" t="s">
        <v>224</v>
      </c>
      <c r="O10" s="90" t="s">
        <v>224</v>
      </c>
      <c r="P10" s="90" t="s">
        <v>224</v>
      </c>
      <c r="Q10" s="90" t="s">
        <v>224</v>
      </c>
      <c r="R10" s="90" t="s">
        <v>224</v>
      </c>
      <c r="S10" s="90" t="s">
        <v>224</v>
      </c>
      <c r="T10" s="90" t="s">
        <v>224</v>
      </c>
      <c r="U10" s="90" t="s">
        <v>224</v>
      </c>
      <c r="V10" s="90" t="s">
        <v>224</v>
      </c>
      <c r="W10" s="128">
        <v>309202</v>
      </c>
    </row>
    <row r="11" spans="1:23" x14ac:dyDescent="0.15">
      <c r="B11" s="21"/>
      <c r="C11" s="90" t="s">
        <v>43</v>
      </c>
      <c r="D11" s="90" t="s">
        <v>45</v>
      </c>
      <c r="E11" s="90" t="s">
        <v>46</v>
      </c>
      <c r="F11" s="90" t="s">
        <v>44</v>
      </c>
      <c r="G11" s="90" t="s">
        <v>48</v>
      </c>
      <c r="H11" s="90" t="s">
        <v>49</v>
      </c>
      <c r="I11" s="90" t="s">
        <v>47</v>
      </c>
      <c r="J11" s="90" t="s">
        <v>50</v>
      </c>
      <c r="K11" s="90" t="s">
        <v>224</v>
      </c>
      <c r="L11" s="90" t="s">
        <v>224</v>
      </c>
      <c r="M11" s="90" t="s">
        <v>224</v>
      </c>
      <c r="N11" s="90" t="s">
        <v>224</v>
      </c>
      <c r="O11" s="90" t="s">
        <v>224</v>
      </c>
      <c r="P11" s="90" t="s">
        <v>224</v>
      </c>
      <c r="Q11" s="90" t="s">
        <v>224</v>
      </c>
      <c r="R11" s="90" t="s">
        <v>224</v>
      </c>
      <c r="S11" s="90" t="s">
        <v>224</v>
      </c>
      <c r="T11" s="90" t="s">
        <v>224</v>
      </c>
      <c r="U11" s="90" t="s">
        <v>224</v>
      </c>
      <c r="V11" s="90" t="s">
        <v>224</v>
      </c>
      <c r="W11" s="128">
        <v>309202</v>
      </c>
    </row>
    <row r="12" spans="1:23" x14ac:dyDescent="0.15">
      <c r="B12" s="21"/>
      <c r="C12" s="90" t="s">
        <v>43</v>
      </c>
      <c r="D12" s="90" t="s">
        <v>45</v>
      </c>
      <c r="E12" s="90" t="s">
        <v>46</v>
      </c>
      <c r="F12" s="90" t="s">
        <v>44</v>
      </c>
      <c r="G12" s="90" t="s">
        <v>48</v>
      </c>
      <c r="H12" s="90" t="s">
        <v>49</v>
      </c>
      <c r="I12" s="90" t="s">
        <v>47</v>
      </c>
      <c r="J12" s="90" t="s">
        <v>50</v>
      </c>
      <c r="K12" s="90" t="s">
        <v>224</v>
      </c>
      <c r="L12" s="90" t="s">
        <v>224</v>
      </c>
      <c r="M12" s="90" t="s">
        <v>224</v>
      </c>
      <c r="N12" s="90" t="s">
        <v>224</v>
      </c>
      <c r="O12" s="90" t="s">
        <v>224</v>
      </c>
      <c r="P12" s="90" t="s">
        <v>224</v>
      </c>
      <c r="Q12" s="90" t="s">
        <v>224</v>
      </c>
      <c r="R12" s="90" t="s">
        <v>224</v>
      </c>
      <c r="S12" s="90" t="s">
        <v>224</v>
      </c>
      <c r="T12" s="90" t="s">
        <v>224</v>
      </c>
      <c r="U12" s="90" t="s">
        <v>224</v>
      </c>
      <c r="V12" s="90" t="s">
        <v>224</v>
      </c>
      <c r="W12" s="128">
        <v>309202</v>
      </c>
    </row>
    <row r="13" spans="1:23" x14ac:dyDescent="0.15">
      <c r="B13" s="21"/>
      <c r="C13" s="90" t="s">
        <v>43</v>
      </c>
      <c r="D13" s="90" t="s">
        <v>45</v>
      </c>
      <c r="E13" s="90" t="s">
        <v>46</v>
      </c>
      <c r="F13" s="90" t="s">
        <v>44</v>
      </c>
      <c r="G13" s="90" t="s">
        <v>48</v>
      </c>
      <c r="H13" s="90" t="s">
        <v>49</v>
      </c>
      <c r="I13" s="90" t="s">
        <v>47</v>
      </c>
      <c r="J13" s="90" t="s">
        <v>50</v>
      </c>
      <c r="K13" s="90" t="s">
        <v>224</v>
      </c>
      <c r="L13" s="90" t="s">
        <v>224</v>
      </c>
      <c r="M13" s="90" t="s">
        <v>224</v>
      </c>
      <c r="N13" s="90" t="s">
        <v>224</v>
      </c>
      <c r="O13" s="90" t="s">
        <v>224</v>
      </c>
      <c r="P13" s="90" t="s">
        <v>224</v>
      </c>
      <c r="Q13" s="90" t="s">
        <v>224</v>
      </c>
      <c r="R13" s="90" t="s">
        <v>224</v>
      </c>
      <c r="S13" s="90" t="s">
        <v>224</v>
      </c>
      <c r="T13" s="90" t="s">
        <v>224</v>
      </c>
      <c r="U13" s="90" t="s">
        <v>224</v>
      </c>
      <c r="V13" s="90" t="s">
        <v>224</v>
      </c>
      <c r="W13" s="128">
        <v>309202</v>
      </c>
    </row>
    <row r="14" spans="1:23" x14ac:dyDescent="0.15">
      <c r="B14" s="21"/>
      <c r="C14" s="90" t="s">
        <v>43</v>
      </c>
      <c r="D14" s="90" t="s">
        <v>45</v>
      </c>
      <c r="E14" s="90" t="s">
        <v>46</v>
      </c>
      <c r="F14" s="90" t="s">
        <v>44</v>
      </c>
      <c r="G14" s="90" t="s">
        <v>48</v>
      </c>
      <c r="H14" s="90" t="s">
        <v>49</v>
      </c>
      <c r="I14" s="90" t="s">
        <v>47</v>
      </c>
      <c r="J14" s="90" t="s">
        <v>50</v>
      </c>
      <c r="K14" s="90" t="s">
        <v>224</v>
      </c>
      <c r="L14" s="90" t="s">
        <v>224</v>
      </c>
      <c r="M14" s="90" t="s">
        <v>224</v>
      </c>
      <c r="N14" s="90" t="s">
        <v>224</v>
      </c>
      <c r="O14" s="90" t="s">
        <v>224</v>
      </c>
      <c r="P14" s="90" t="s">
        <v>224</v>
      </c>
      <c r="Q14" s="90" t="s">
        <v>224</v>
      </c>
      <c r="R14" s="90" t="s">
        <v>224</v>
      </c>
      <c r="S14" s="90" t="s">
        <v>224</v>
      </c>
      <c r="T14" s="90" t="s">
        <v>224</v>
      </c>
      <c r="U14" s="90" t="s">
        <v>224</v>
      </c>
      <c r="V14" s="90" t="s">
        <v>224</v>
      </c>
      <c r="W14" s="128">
        <v>309202</v>
      </c>
    </row>
    <row r="15" spans="1:23" x14ac:dyDescent="0.15">
      <c r="B15" s="21"/>
      <c r="C15" s="90" t="s">
        <v>43</v>
      </c>
      <c r="D15" s="90" t="s">
        <v>45</v>
      </c>
      <c r="E15" s="90" t="s">
        <v>46</v>
      </c>
      <c r="F15" s="90" t="s">
        <v>44</v>
      </c>
      <c r="G15" s="90" t="s">
        <v>48</v>
      </c>
      <c r="H15" s="90" t="s">
        <v>49</v>
      </c>
      <c r="I15" s="90" t="s">
        <v>47</v>
      </c>
      <c r="J15" s="90" t="s">
        <v>50</v>
      </c>
      <c r="K15" s="90" t="s">
        <v>224</v>
      </c>
      <c r="L15" s="90" t="s">
        <v>224</v>
      </c>
      <c r="M15" s="90" t="s">
        <v>224</v>
      </c>
      <c r="N15" s="90" t="s">
        <v>224</v>
      </c>
      <c r="O15" s="90" t="s">
        <v>224</v>
      </c>
      <c r="P15" s="90" t="s">
        <v>224</v>
      </c>
      <c r="Q15" s="90" t="s">
        <v>224</v>
      </c>
      <c r="R15" s="90" t="s">
        <v>224</v>
      </c>
      <c r="S15" s="90" t="s">
        <v>224</v>
      </c>
      <c r="T15" s="90" t="s">
        <v>224</v>
      </c>
      <c r="U15" s="90" t="s">
        <v>224</v>
      </c>
      <c r="V15" s="90" t="s">
        <v>224</v>
      </c>
      <c r="W15" s="128">
        <v>309202</v>
      </c>
    </row>
    <row r="16" spans="1:23" x14ac:dyDescent="0.15">
      <c r="B16" s="21"/>
      <c r="C16" s="90" t="s">
        <v>43</v>
      </c>
      <c r="D16" s="90" t="s">
        <v>45</v>
      </c>
      <c r="E16" s="90" t="s">
        <v>46</v>
      </c>
      <c r="F16" s="90" t="s">
        <v>44</v>
      </c>
      <c r="G16" s="90" t="s">
        <v>48</v>
      </c>
      <c r="H16" s="90" t="s">
        <v>49</v>
      </c>
      <c r="I16" s="90" t="s">
        <v>47</v>
      </c>
      <c r="J16" s="90" t="s">
        <v>50</v>
      </c>
      <c r="K16" s="90" t="s">
        <v>224</v>
      </c>
      <c r="L16" s="90" t="s">
        <v>224</v>
      </c>
      <c r="M16" s="90" t="s">
        <v>224</v>
      </c>
      <c r="N16" s="90" t="s">
        <v>224</v>
      </c>
      <c r="O16" s="90" t="s">
        <v>224</v>
      </c>
      <c r="P16" s="90" t="s">
        <v>224</v>
      </c>
      <c r="Q16" s="90" t="s">
        <v>224</v>
      </c>
      <c r="R16" s="90" t="s">
        <v>224</v>
      </c>
      <c r="S16" s="90" t="s">
        <v>224</v>
      </c>
      <c r="T16" s="90" t="s">
        <v>224</v>
      </c>
      <c r="U16" s="90" t="s">
        <v>224</v>
      </c>
      <c r="V16" s="90" t="s">
        <v>224</v>
      </c>
      <c r="W16" s="128">
        <v>309202</v>
      </c>
    </row>
    <row r="17" spans="2:23" x14ac:dyDescent="0.15">
      <c r="B17" s="21"/>
      <c r="C17" s="90" t="s">
        <v>43</v>
      </c>
      <c r="D17" s="90" t="s">
        <v>45</v>
      </c>
      <c r="E17" s="90" t="s">
        <v>46</v>
      </c>
      <c r="F17" s="90" t="s">
        <v>44</v>
      </c>
      <c r="G17" s="90" t="s">
        <v>48</v>
      </c>
      <c r="H17" s="90" t="s">
        <v>49</v>
      </c>
      <c r="I17" s="90" t="s">
        <v>47</v>
      </c>
      <c r="J17" s="90" t="s">
        <v>50</v>
      </c>
      <c r="K17" s="90" t="s">
        <v>224</v>
      </c>
      <c r="L17" s="90" t="s">
        <v>224</v>
      </c>
      <c r="M17" s="90" t="s">
        <v>224</v>
      </c>
      <c r="N17" s="90" t="s">
        <v>224</v>
      </c>
      <c r="O17" s="90" t="s">
        <v>224</v>
      </c>
      <c r="P17" s="90" t="s">
        <v>224</v>
      </c>
      <c r="Q17" s="90" t="s">
        <v>224</v>
      </c>
      <c r="R17" s="90" t="s">
        <v>224</v>
      </c>
      <c r="S17" s="90" t="s">
        <v>224</v>
      </c>
      <c r="T17" s="90" t="s">
        <v>224</v>
      </c>
      <c r="U17" s="90" t="s">
        <v>224</v>
      </c>
      <c r="V17" s="90" t="s">
        <v>224</v>
      </c>
      <c r="W17" s="128">
        <v>309202</v>
      </c>
    </row>
    <row r="18" spans="2:23" x14ac:dyDescent="0.15">
      <c r="B18" s="21"/>
      <c r="C18" s="90" t="s">
        <v>43</v>
      </c>
      <c r="D18" s="90" t="s">
        <v>45</v>
      </c>
      <c r="E18" s="90" t="s">
        <v>46</v>
      </c>
      <c r="F18" s="90" t="s">
        <v>44</v>
      </c>
      <c r="G18" s="90" t="s">
        <v>48</v>
      </c>
      <c r="H18" s="90" t="s">
        <v>49</v>
      </c>
      <c r="I18" s="90" t="s">
        <v>47</v>
      </c>
      <c r="J18" s="90" t="s">
        <v>50</v>
      </c>
      <c r="K18" s="90" t="s">
        <v>224</v>
      </c>
      <c r="L18" s="90" t="s">
        <v>224</v>
      </c>
      <c r="M18" s="90" t="s">
        <v>224</v>
      </c>
      <c r="N18" s="90" t="s">
        <v>224</v>
      </c>
      <c r="O18" s="90" t="s">
        <v>224</v>
      </c>
      <c r="P18" s="90" t="s">
        <v>224</v>
      </c>
      <c r="Q18" s="90" t="s">
        <v>224</v>
      </c>
      <c r="R18" s="90" t="s">
        <v>224</v>
      </c>
      <c r="S18" s="90" t="s">
        <v>224</v>
      </c>
      <c r="T18" s="90" t="s">
        <v>224</v>
      </c>
      <c r="U18" s="90" t="s">
        <v>224</v>
      </c>
      <c r="V18" s="90" t="s">
        <v>224</v>
      </c>
      <c r="W18" s="128">
        <v>309202</v>
      </c>
    </row>
    <row r="19" spans="2:23" x14ac:dyDescent="0.15">
      <c r="B19" s="21"/>
      <c r="C19" s="90" t="s">
        <v>43</v>
      </c>
      <c r="D19" s="90" t="s">
        <v>45</v>
      </c>
      <c r="E19" s="90" t="s">
        <v>46</v>
      </c>
      <c r="F19" s="90" t="s">
        <v>44</v>
      </c>
      <c r="G19" s="90" t="s">
        <v>48</v>
      </c>
      <c r="H19" s="90" t="s">
        <v>49</v>
      </c>
      <c r="I19" s="90" t="s">
        <v>47</v>
      </c>
      <c r="J19" s="90" t="s">
        <v>50</v>
      </c>
      <c r="K19" s="90" t="s">
        <v>224</v>
      </c>
      <c r="L19" s="90" t="s">
        <v>224</v>
      </c>
      <c r="M19" s="90" t="s">
        <v>224</v>
      </c>
      <c r="N19" s="90" t="s">
        <v>224</v>
      </c>
      <c r="O19" s="90" t="s">
        <v>224</v>
      </c>
      <c r="P19" s="90" t="s">
        <v>224</v>
      </c>
      <c r="Q19" s="90" t="s">
        <v>224</v>
      </c>
      <c r="R19" s="90" t="s">
        <v>224</v>
      </c>
      <c r="S19" s="90" t="s">
        <v>224</v>
      </c>
      <c r="T19" s="90" t="s">
        <v>224</v>
      </c>
      <c r="U19" s="90" t="s">
        <v>224</v>
      </c>
      <c r="V19" s="90" t="s">
        <v>224</v>
      </c>
      <c r="W19" s="128">
        <v>309202</v>
      </c>
    </row>
    <row r="20" spans="2:23" x14ac:dyDescent="0.15">
      <c r="B20" s="21"/>
      <c r="C20" s="90" t="s">
        <v>43</v>
      </c>
      <c r="D20" s="90" t="s">
        <v>45</v>
      </c>
      <c r="E20" s="90" t="s">
        <v>46</v>
      </c>
      <c r="F20" s="90" t="s">
        <v>44</v>
      </c>
      <c r="G20" s="90" t="s">
        <v>48</v>
      </c>
      <c r="H20" s="90" t="s">
        <v>49</v>
      </c>
      <c r="I20" s="90" t="s">
        <v>47</v>
      </c>
      <c r="J20" s="90" t="s">
        <v>50</v>
      </c>
      <c r="K20" s="90" t="s">
        <v>224</v>
      </c>
      <c r="L20" s="90" t="s">
        <v>224</v>
      </c>
      <c r="M20" s="90" t="s">
        <v>224</v>
      </c>
      <c r="N20" s="90" t="s">
        <v>224</v>
      </c>
      <c r="O20" s="90" t="s">
        <v>224</v>
      </c>
      <c r="P20" s="90" t="s">
        <v>224</v>
      </c>
      <c r="Q20" s="90" t="s">
        <v>224</v>
      </c>
      <c r="R20" s="90" t="s">
        <v>224</v>
      </c>
      <c r="S20" s="90" t="s">
        <v>224</v>
      </c>
      <c r="T20" s="90" t="s">
        <v>224</v>
      </c>
      <c r="U20" s="90" t="s">
        <v>224</v>
      </c>
      <c r="V20" s="90" t="s">
        <v>224</v>
      </c>
      <c r="W20" s="128">
        <v>309202</v>
      </c>
    </row>
    <row r="21" spans="2:23" x14ac:dyDescent="0.15">
      <c r="B21" s="21"/>
      <c r="C21" s="90" t="s">
        <v>43</v>
      </c>
      <c r="D21" s="90" t="s">
        <v>45</v>
      </c>
      <c r="E21" s="90" t="s">
        <v>46</v>
      </c>
      <c r="F21" s="90" t="s">
        <v>44</v>
      </c>
      <c r="G21" s="90" t="s">
        <v>48</v>
      </c>
      <c r="H21" s="90" t="s">
        <v>49</v>
      </c>
      <c r="I21" s="90" t="s">
        <v>47</v>
      </c>
      <c r="J21" s="90" t="s">
        <v>50</v>
      </c>
      <c r="K21" s="90" t="s">
        <v>224</v>
      </c>
      <c r="L21" s="90" t="s">
        <v>224</v>
      </c>
      <c r="M21" s="90" t="s">
        <v>224</v>
      </c>
      <c r="N21" s="90" t="s">
        <v>224</v>
      </c>
      <c r="O21" s="90" t="s">
        <v>224</v>
      </c>
      <c r="P21" s="90" t="s">
        <v>224</v>
      </c>
      <c r="Q21" s="90" t="s">
        <v>224</v>
      </c>
      <c r="R21" s="90" t="s">
        <v>224</v>
      </c>
      <c r="S21" s="90" t="s">
        <v>224</v>
      </c>
      <c r="T21" s="90" t="s">
        <v>224</v>
      </c>
      <c r="U21" s="90" t="s">
        <v>224</v>
      </c>
      <c r="V21" s="90" t="s">
        <v>224</v>
      </c>
      <c r="W21" s="128">
        <v>309202</v>
      </c>
    </row>
    <row r="22" spans="2:23" x14ac:dyDescent="0.15">
      <c r="B22" s="21"/>
      <c r="C22" s="90" t="s">
        <v>43</v>
      </c>
      <c r="D22" s="90" t="s">
        <v>45</v>
      </c>
      <c r="E22" s="90" t="s">
        <v>46</v>
      </c>
      <c r="F22" s="90" t="s">
        <v>44</v>
      </c>
      <c r="G22" s="90" t="s">
        <v>48</v>
      </c>
      <c r="H22" s="90" t="s">
        <v>49</v>
      </c>
      <c r="I22" s="90" t="s">
        <v>47</v>
      </c>
      <c r="J22" s="90" t="s">
        <v>50</v>
      </c>
      <c r="K22" s="90" t="s">
        <v>224</v>
      </c>
      <c r="L22" s="90" t="s">
        <v>224</v>
      </c>
      <c r="M22" s="90" t="s">
        <v>224</v>
      </c>
      <c r="N22" s="90" t="s">
        <v>224</v>
      </c>
      <c r="O22" s="90" t="s">
        <v>224</v>
      </c>
      <c r="P22" s="90" t="s">
        <v>224</v>
      </c>
      <c r="Q22" s="90" t="s">
        <v>224</v>
      </c>
      <c r="R22" s="90" t="s">
        <v>224</v>
      </c>
      <c r="S22" s="90" t="s">
        <v>224</v>
      </c>
      <c r="T22" s="90" t="s">
        <v>224</v>
      </c>
      <c r="U22" s="90" t="s">
        <v>224</v>
      </c>
      <c r="V22" s="90" t="s">
        <v>224</v>
      </c>
      <c r="W22" s="128">
        <v>309202</v>
      </c>
    </row>
    <row r="23" spans="2:23" x14ac:dyDescent="0.15">
      <c r="B23" s="21"/>
      <c r="C23" s="90" t="s">
        <v>43</v>
      </c>
      <c r="D23" s="90" t="s">
        <v>45</v>
      </c>
      <c r="E23" s="90" t="s">
        <v>46</v>
      </c>
      <c r="F23" s="90" t="s">
        <v>44</v>
      </c>
      <c r="G23" s="90" t="s">
        <v>48</v>
      </c>
      <c r="H23" s="90" t="s">
        <v>49</v>
      </c>
      <c r="I23" s="90" t="s">
        <v>47</v>
      </c>
      <c r="J23" s="90" t="s">
        <v>50</v>
      </c>
      <c r="K23" s="90" t="s">
        <v>224</v>
      </c>
      <c r="L23" s="90" t="s">
        <v>224</v>
      </c>
      <c r="M23" s="90" t="s">
        <v>224</v>
      </c>
      <c r="N23" s="90" t="s">
        <v>224</v>
      </c>
      <c r="O23" s="90" t="s">
        <v>224</v>
      </c>
      <c r="P23" s="90" t="s">
        <v>224</v>
      </c>
      <c r="Q23" s="90" t="s">
        <v>224</v>
      </c>
      <c r="R23" s="90" t="s">
        <v>224</v>
      </c>
      <c r="S23" s="90" t="s">
        <v>224</v>
      </c>
      <c r="T23" s="90" t="s">
        <v>224</v>
      </c>
      <c r="U23" s="90" t="s">
        <v>224</v>
      </c>
      <c r="V23" s="90" t="s">
        <v>224</v>
      </c>
      <c r="W23" s="128">
        <v>309202</v>
      </c>
    </row>
    <row r="24" spans="2:23" x14ac:dyDescent="0.15">
      <c r="B24" s="21"/>
      <c r="C24" s="90" t="s">
        <v>43</v>
      </c>
      <c r="D24" s="90" t="s">
        <v>45</v>
      </c>
      <c r="E24" s="90" t="s">
        <v>46</v>
      </c>
      <c r="F24" s="90" t="s">
        <v>44</v>
      </c>
      <c r="G24" s="90" t="s">
        <v>48</v>
      </c>
      <c r="H24" s="90" t="s">
        <v>49</v>
      </c>
      <c r="I24" s="90" t="s">
        <v>47</v>
      </c>
      <c r="J24" s="90" t="s">
        <v>50</v>
      </c>
      <c r="K24" s="90" t="s">
        <v>224</v>
      </c>
      <c r="L24" s="90" t="s">
        <v>224</v>
      </c>
      <c r="M24" s="90" t="s">
        <v>224</v>
      </c>
      <c r="N24" s="90" t="s">
        <v>224</v>
      </c>
      <c r="O24" s="90" t="s">
        <v>224</v>
      </c>
      <c r="P24" s="90" t="s">
        <v>224</v>
      </c>
      <c r="Q24" s="90" t="s">
        <v>224</v>
      </c>
      <c r="R24" s="90" t="s">
        <v>224</v>
      </c>
      <c r="S24" s="90" t="s">
        <v>224</v>
      </c>
      <c r="T24" s="90" t="s">
        <v>224</v>
      </c>
      <c r="U24" s="90" t="s">
        <v>224</v>
      </c>
      <c r="V24" s="90" t="s">
        <v>224</v>
      </c>
      <c r="W24" s="128">
        <v>309202</v>
      </c>
    </row>
    <row r="25" spans="2:23" x14ac:dyDescent="0.15">
      <c r="B25" s="21"/>
      <c r="C25" s="90" t="s">
        <v>43</v>
      </c>
      <c r="D25" s="90" t="s">
        <v>45</v>
      </c>
      <c r="E25" s="90" t="s">
        <v>46</v>
      </c>
      <c r="F25" s="90" t="s">
        <v>44</v>
      </c>
      <c r="G25" s="90" t="s">
        <v>48</v>
      </c>
      <c r="H25" s="90" t="s">
        <v>49</v>
      </c>
      <c r="I25" s="90" t="s">
        <v>47</v>
      </c>
      <c r="J25" s="90" t="s">
        <v>50</v>
      </c>
      <c r="K25" s="90" t="s">
        <v>224</v>
      </c>
      <c r="L25" s="90" t="s">
        <v>224</v>
      </c>
      <c r="M25" s="90" t="s">
        <v>224</v>
      </c>
      <c r="N25" s="90" t="s">
        <v>224</v>
      </c>
      <c r="O25" s="90" t="s">
        <v>224</v>
      </c>
      <c r="P25" s="90" t="s">
        <v>224</v>
      </c>
      <c r="Q25" s="90" t="s">
        <v>224</v>
      </c>
      <c r="R25" s="90" t="s">
        <v>224</v>
      </c>
      <c r="S25" s="90" t="s">
        <v>224</v>
      </c>
      <c r="T25" s="90" t="s">
        <v>224</v>
      </c>
      <c r="U25" s="90" t="s">
        <v>224</v>
      </c>
      <c r="V25" s="90" t="s">
        <v>224</v>
      </c>
      <c r="W25" s="128">
        <v>309202</v>
      </c>
    </row>
    <row r="26" spans="2:23" x14ac:dyDescent="0.15">
      <c r="B26" s="21"/>
      <c r="C26" s="90" t="s">
        <v>43</v>
      </c>
      <c r="D26" s="90" t="s">
        <v>45</v>
      </c>
      <c r="E26" s="90" t="s">
        <v>46</v>
      </c>
      <c r="F26" s="90" t="s">
        <v>44</v>
      </c>
      <c r="G26" s="90" t="s">
        <v>48</v>
      </c>
      <c r="H26" s="90" t="s">
        <v>49</v>
      </c>
      <c r="I26" s="90" t="s">
        <v>47</v>
      </c>
      <c r="J26" s="90" t="s">
        <v>50</v>
      </c>
      <c r="K26" s="90" t="s">
        <v>224</v>
      </c>
      <c r="L26" s="90" t="s">
        <v>224</v>
      </c>
      <c r="M26" s="90" t="s">
        <v>224</v>
      </c>
      <c r="N26" s="90" t="s">
        <v>224</v>
      </c>
      <c r="O26" s="90" t="s">
        <v>224</v>
      </c>
      <c r="P26" s="90" t="s">
        <v>224</v>
      </c>
      <c r="Q26" s="90" t="s">
        <v>224</v>
      </c>
      <c r="R26" s="90" t="s">
        <v>224</v>
      </c>
      <c r="S26" s="90" t="s">
        <v>224</v>
      </c>
      <c r="T26" s="90" t="s">
        <v>224</v>
      </c>
      <c r="U26" s="90" t="s">
        <v>224</v>
      </c>
      <c r="V26" s="90" t="s">
        <v>224</v>
      </c>
      <c r="W26" s="128">
        <v>309202</v>
      </c>
    </row>
    <row r="27" spans="2:23" x14ac:dyDescent="0.15">
      <c r="B27" s="21"/>
      <c r="C27" s="90" t="s">
        <v>43</v>
      </c>
      <c r="D27" s="90" t="s">
        <v>45</v>
      </c>
      <c r="E27" s="90" t="s">
        <v>46</v>
      </c>
      <c r="F27" s="90" t="s">
        <v>44</v>
      </c>
      <c r="G27" s="90" t="s">
        <v>48</v>
      </c>
      <c r="H27" s="90" t="s">
        <v>49</v>
      </c>
      <c r="I27" s="90" t="s">
        <v>47</v>
      </c>
      <c r="J27" s="90" t="s">
        <v>50</v>
      </c>
      <c r="K27" s="90" t="s">
        <v>224</v>
      </c>
      <c r="L27" s="90" t="s">
        <v>224</v>
      </c>
      <c r="M27" s="90" t="s">
        <v>224</v>
      </c>
      <c r="N27" s="90" t="s">
        <v>224</v>
      </c>
      <c r="O27" s="90" t="s">
        <v>224</v>
      </c>
      <c r="P27" s="90" t="s">
        <v>224</v>
      </c>
      <c r="Q27" s="90" t="s">
        <v>224</v>
      </c>
      <c r="R27" s="90" t="s">
        <v>224</v>
      </c>
      <c r="S27" s="90" t="s">
        <v>224</v>
      </c>
      <c r="T27" s="90" t="s">
        <v>224</v>
      </c>
      <c r="U27" s="90" t="s">
        <v>224</v>
      </c>
      <c r="V27" s="90" t="s">
        <v>224</v>
      </c>
      <c r="W27" s="128">
        <v>309202</v>
      </c>
    </row>
    <row r="28" spans="2:23" x14ac:dyDescent="0.15">
      <c r="B28" s="21"/>
      <c r="C28" s="90" t="s">
        <v>43</v>
      </c>
      <c r="D28" s="90" t="s">
        <v>45</v>
      </c>
      <c r="E28" s="90" t="s">
        <v>46</v>
      </c>
      <c r="F28" s="90" t="s">
        <v>44</v>
      </c>
      <c r="G28" s="90" t="s">
        <v>48</v>
      </c>
      <c r="H28" s="90" t="s">
        <v>49</v>
      </c>
      <c r="I28" s="90" t="s">
        <v>47</v>
      </c>
      <c r="J28" s="90" t="s">
        <v>50</v>
      </c>
      <c r="K28" s="90" t="s">
        <v>224</v>
      </c>
      <c r="L28" s="90" t="s">
        <v>224</v>
      </c>
      <c r="M28" s="90" t="s">
        <v>224</v>
      </c>
      <c r="N28" s="90" t="s">
        <v>224</v>
      </c>
      <c r="O28" s="90" t="s">
        <v>224</v>
      </c>
      <c r="P28" s="90" t="s">
        <v>224</v>
      </c>
      <c r="Q28" s="90" t="s">
        <v>224</v>
      </c>
      <c r="R28" s="90" t="s">
        <v>224</v>
      </c>
      <c r="S28" s="90" t="s">
        <v>224</v>
      </c>
      <c r="T28" s="90" t="s">
        <v>224</v>
      </c>
      <c r="U28" s="90" t="s">
        <v>224</v>
      </c>
      <c r="V28" s="90" t="s">
        <v>224</v>
      </c>
      <c r="W28" s="128">
        <v>309202</v>
      </c>
    </row>
    <row r="29" spans="2:23" x14ac:dyDescent="0.15">
      <c r="B29" s="21"/>
      <c r="C29" s="90" t="s">
        <v>43</v>
      </c>
      <c r="D29" s="90" t="s">
        <v>45</v>
      </c>
      <c r="E29" s="90" t="s">
        <v>46</v>
      </c>
      <c r="F29" s="90" t="s">
        <v>44</v>
      </c>
      <c r="G29" s="90" t="s">
        <v>48</v>
      </c>
      <c r="H29" s="90" t="s">
        <v>49</v>
      </c>
      <c r="I29" s="90" t="s">
        <v>47</v>
      </c>
      <c r="J29" s="90" t="s">
        <v>50</v>
      </c>
      <c r="K29" s="90" t="s">
        <v>224</v>
      </c>
      <c r="L29" s="90" t="s">
        <v>224</v>
      </c>
      <c r="M29" s="90" t="s">
        <v>224</v>
      </c>
      <c r="N29" s="90" t="s">
        <v>224</v>
      </c>
      <c r="O29" s="90" t="s">
        <v>224</v>
      </c>
      <c r="P29" s="90" t="s">
        <v>224</v>
      </c>
      <c r="Q29" s="90" t="s">
        <v>224</v>
      </c>
      <c r="R29" s="90" t="s">
        <v>224</v>
      </c>
      <c r="S29" s="90" t="s">
        <v>224</v>
      </c>
      <c r="T29" s="90" t="s">
        <v>224</v>
      </c>
      <c r="U29" s="90" t="s">
        <v>224</v>
      </c>
      <c r="V29" s="90" t="s">
        <v>224</v>
      </c>
      <c r="W29" s="128">
        <v>309202</v>
      </c>
    </row>
    <row r="30" spans="2:23" x14ac:dyDescent="0.15">
      <c r="B30" s="21"/>
      <c r="C30" s="90" t="s">
        <v>43</v>
      </c>
      <c r="D30" s="90" t="s">
        <v>45</v>
      </c>
      <c r="E30" s="90" t="s">
        <v>46</v>
      </c>
      <c r="F30" s="90" t="s">
        <v>44</v>
      </c>
      <c r="G30" s="90" t="s">
        <v>48</v>
      </c>
      <c r="H30" s="90" t="s">
        <v>49</v>
      </c>
      <c r="I30" s="90" t="s">
        <v>47</v>
      </c>
      <c r="J30" s="90" t="s">
        <v>50</v>
      </c>
      <c r="K30" s="90" t="s">
        <v>224</v>
      </c>
      <c r="L30" s="90" t="s">
        <v>224</v>
      </c>
      <c r="M30" s="90" t="s">
        <v>224</v>
      </c>
      <c r="N30" s="90" t="s">
        <v>224</v>
      </c>
      <c r="O30" s="90" t="s">
        <v>224</v>
      </c>
      <c r="P30" s="90" t="s">
        <v>224</v>
      </c>
      <c r="Q30" s="90" t="s">
        <v>224</v>
      </c>
      <c r="R30" s="90" t="s">
        <v>224</v>
      </c>
      <c r="S30" s="90" t="s">
        <v>224</v>
      </c>
      <c r="T30" s="90" t="s">
        <v>224</v>
      </c>
      <c r="U30" s="90" t="s">
        <v>224</v>
      </c>
      <c r="V30" s="90" t="s">
        <v>224</v>
      </c>
      <c r="W30" s="128">
        <v>309202</v>
      </c>
    </row>
    <row r="31" spans="2:23" x14ac:dyDescent="0.15">
      <c r="B31" s="21"/>
      <c r="C31" s="90" t="s">
        <v>43</v>
      </c>
      <c r="D31" s="90" t="s">
        <v>45</v>
      </c>
      <c r="E31" s="90" t="s">
        <v>46</v>
      </c>
      <c r="F31" s="90" t="s">
        <v>44</v>
      </c>
      <c r="G31" s="90" t="s">
        <v>48</v>
      </c>
      <c r="H31" s="90" t="s">
        <v>49</v>
      </c>
      <c r="I31" s="90" t="s">
        <v>47</v>
      </c>
      <c r="J31" s="90" t="s">
        <v>50</v>
      </c>
      <c r="K31" s="90" t="s">
        <v>224</v>
      </c>
      <c r="L31" s="90" t="s">
        <v>224</v>
      </c>
      <c r="M31" s="90" t="s">
        <v>224</v>
      </c>
      <c r="N31" s="90" t="s">
        <v>224</v>
      </c>
      <c r="O31" s="90" t="s">
        <v>224</v>
      </c>
      <c r="P31" s="90" t="s">
        <v>224</v>
      </c>
      <c r="Q31" s="90" t="s">
        <v>224</v>
      </c>
      <c r="R31" s="90" t="s">
        <v>224</v>
      </c>
      <c r="S31" s="90" t="s">
        <v>224</v>
      </c>
      <c r="T31" s="90" t="s">
        <v>224</v>
      </c>
      <c r="U31" s="90" t="s">
        <v>224</v>
      </c>
      <c r="V31" s="90" t="s">
        <v>224</v>
      </c>
      <c r="W31" s="128">
        <v>309202</v>
      </c>
    </row>
    <row r="32" spans="2:23" x14ac:dyDescent="0.15">
      <c r="B32" s="21"/>
      <c r="C32" s="90" t="s">
        <v>43</v>
      </c>
      <c r="D32" s="90" t="s">
        <v>45</v>
      </c>
      <c r="E32" s="90" t="s">
        <v>46</v>
      </c>
      <c r="F32" s="90" t="s">
        <v>44</v>
      </c>
      <c r="G32" s="90" t="s">
        <v>48</v>
      </c>
      <c r="H32" s="90" t="s">
        <v>49</v>
      </c>
      <c r="I32" s="90" t="s">
        <v>47</v>
      </c>
      <c r="J32" s="90" t="s">
        <v>50</v>
      </c>
      <c r="K32" s="90" t="s">
        <v>224</v>
      </c>
      <c r="L32" s="90" t="s">
        <v>224</v>
      </c>
      <c r="M32" s="90" t="s">
        <v>224</v>
      </c>
      <c r="N32" s="90" t="s">
        <v>224</v>
      </c>
      <c r="O32" s="90" t="s">
        <v>224</v>
      </c>
      <c r="P32" s="90" t="s">
        <v>224</v>
      </c>
      <c r="Q32" s="90" t="s">
        <v>224</v>
      </c>
      <c r="R32" s="90" t="s">
        <v>224</v>
      </c>
      <c r="S32" s="90" t="s">
        <v>224</v>
      </c>
      <c r="T32" s="90" t="s">
        <v>224</v>
      </c>
      <c r="U32" s="90" t="s">
        <v>224</v>
      </c>
      <c r="V32" s="90" t="s">
        <v>224</v>
      </c>
      <c r="W32" s="128">
        <v>309202</v>
      </c>
    </row>
    <row r="33" spans="2:23" x14ac:dyDescent="0.15">
      <c r="B33" s="21"/>
      <c r="C33" s="90" t="s">
        <v>43</v>
      </c>
      <c r="D33" s="90" t="s">
        <v>45</v>
      </c>
      <c r="E33" s="90" t="s">
        <v>46</v>
      </c>
      <c r="F33" s="90" t="s">
        <v>44</v>
      </c>
      <c r="G33" s="90" t="s">
        <v>48</v>
      </c>
      <c r="H33" s="90" t="s">
        <v>49</v>
      </c>
      <c r="I33" s="90" t="s">
        <v>47</v>
      </c>
      <c r="J33" s="90" t="s">
        <v>50</v>
      </c>
      <c r="K33" s="90" t="s">
        <v>224</v>
      </c>
      <c r="L33" s="90" t="s">
        <v>224</v>
      </c>
      <c r="M33" s="90" t="s">
        <v>224</v>
      </c>
      <c r="N33" s="90" t="s">
        <v>224</v>
      </c>
      <c r="O33" s="90" t="s">
        <v>224</v>
      </c>
      <c r="P33" s="90" t="s">
        <v>224</v>
      </c>
      <c r="Q33" s="90" t="s">
        <v>224</v>
      </c>
      <c r="R33" s="90" t="s">
        <v>224</v>
      </c>
      <c r="S33" s="90" t="s">
        <v>224</v>
      </c>
      <c r="T33" s="90" t="s">
        <v>224</v>
      </c>
      <c r="U33" s="90" t="s">
        <v>224</v>
      </c>
      <c r="V33" s="90" t="s">
        <v>224</v>
      </c>
      <c r="W33" s="128">
        <v>309202</v>
      </c>
    </row>
    <row r="34" spans="2:23" x14ac:dyDescent="0.15">
      <c r="B34" s="21"/>
      <c r="C34" s="90" t="s">
        <v>43</v>
      </c>
      <c r="D34" s="90" t="s">
        <v>45</v>
      </c>
      <c r="E34" s="90" t="s">
        <v>46</v>
      </c>
      <c r="F34" s="90" t="s">
        <v>44</v>
      </c>
      <c r="G34" s="90" t="s">
        <v>48</v>
      </c>
      <c r="H34" s="90" t="s">
        <v>49</v>
      </c>
      <c r="I34" s="90" t="s">
        <v>47</v>
      </c>
      <c r="J34" s="90" t="s">
        <v>50</v>
      </c>
      <c r="K34" s="90" t="s">
        <v>224</v>
      </c>
      <c r="L34" s="90" t="s">
        <v>224</v>
      </c>
      <c r="M34" s="90" t="s">
        <v>224</v>
      </c>
      <c r="N34" s="90" t="s">
        <v>224</v>
      </c>
      <c r="O34" s="90" t="s">
        <v>224</v>
      </c>
      <c r="P34" s="90" t="s">
        <v>224</v>
      </c>
      <c r="Q34" s="90" t="s">
        <v>224</v>
      </c>
      <c r="R34" s="90" t="s">
        <v>224</v>
      </c>
      <c r="S34" s="90" t="s">
        <v>224</v>
      </c>
      <c r="T34" s="90" t="s">
        <v>224</v>
      </c>
      <c r="U34" s="90" t="s">
        <v>224</v>
      </c>
      <c r="V34" s="90" t="s">
        <v>224</v>
      </c>
      <c r="W34" s="128">
        <v>309202</v>
      </c>
    </row>
    <row r="35" spans="2:23" x14ac:dyDescent="0.15">
      <c r="B35" s="21"/>
      <c r="C35" s="90" t="s">
        <v>43</v>
      </c>
      <c r="D35" s="90" t="s">
        <v>45</v>
      </c>
      <c r="E35" s="90" t="s">
        <v>46</v>
      </c>
      <c r="F35" s="90" t="s">
        <v>44</v>
      </c>
      <c r="G35" s="90" t="s">
        <v>48</v>
      </c>
      <c r="H35" s="90" t="s">
        <v>49</v>
      </c>
      <c r="I35" s="90" t="s">
        <v>47</v>
      </c>
      <c r="J35" s="90" t="s">
        <v>50</v>
      </c>
      <c r="K35" s="90" t="s">
        <v>224</v>
      </c>
      <c r="L35" s="90" t="s">
        <v>224</v>
      </c>
      <c r="M35" s="90" t="s">
        <v>224</v>
      </c>
      <c r="N35" s="90" t="s">
        <v>224</v>
      </c>
      <c r="O35" s="90" t="s">
        <v>224</v>
      </c>
      <c r="P35" s="90" t="s">
        <v>224</v>
      </c>
      <c r="Q35" s="90" t="s">
        <v>224</v>
      </c>
      <c r="R35" s="90" t="s">
        <v>224</v>
      </c>
      <c r="S35" s="90" t="s">
        <v>224</v>
      </c>
      <c r="T35" s="90" t="s">
        <v>224</v>
      </c>
      <c r="U35" s="90" t="s">
        <v>224</v>
      </c>
      <c r="V35" s="90" t="s">
        <v>224</v>
      </c>
      <c r="W35" s="128">
        <v>309202</v>
      </c>
    </row>
    <row r="36" spans="2:23" x14ac:dyDescent="0.15">
      <c r="B36" s="21"/>
      <c r="C36" s="90" t="s">
        <v>43</v>
      </c>
      <c r="D36" s="90" t="s">
        <v>45</v>
      </c>
      <c r="E36" s="90" t="s">
        <v>46</v>
      </c>
      <c r="F36" s="90" t="s">
        <v>44</v>
      </c>
      <c r="G36" s="90" t="s">
        <v>48</v>
      </c>
      <c r="H36" s="90" t="s">
        <v>49</v>
      </c>
      <c r="I36" s="90" t="s">
        <v>47</v>
      </c>
      <c r="J36" s="90" t="s">
        <v>50</v>
      </c>
      <c r="K36" s="90" t="s">
        <v>224</v>
      </c>
      <c r="L36" s="90" t="s">
        <v>224</v>
      </c>
      <c r="M36" s="90" t="s">
        <v>224</v>
      </c>
      <c r="N36" s="90" t="s">
        <v>224</v>
      </c>
      <c r="O36" s="90" t="s">
        <v>224</v>
      </c>
      <c r="P36" s="90" t="s">
        <v>224</v>
      </c>
      <c r="Q36" s="90" t="s">
        <v>224</v>
      </c>
      <c r="R36" s="90" t="s">
        <v>224</v>
      </c>
      <c r="S36" s="90" t="s">
        <v>224</v>
      </c>
      <c r="T36" s="90" t="s">
        <v>224</v>
      </c>
      <c r="U36" s="90" t="s">
        <v>224</v>
      </c>
      <c r="V36" s="90" t="s">
        <v>224</v>
      </c>
      <c r="W36" s="128">
        <v>309202</v>
      </c>
    </row>
    <row r="37" spans="2:23" x14ac:dyDescent="0.15">
      <c r="B37" s="21"/>
      <c r="C37" s="90" t="s">
        <v>43</v>
      </c>
      <c r="D37" s="90" t="s">
        <v>45</v>
      </c>
      <c r="E37" s="90" t="s">
        <v>46</v>
      </c>
      <c r="F37" s="90" t="s">
        <v>44</v>
      </c>
      <c r="G37" s="90" t="s">
        <v>48</v>
      </c>
      <c r="H37" s="90" t="s">
        <v>49</v>
      </c>
      <c r="I37" s="90" t="s">
        <v>47</v>
      </c>
      <c r="J37" s="90" t="s">
        <v>50</v>
      </c>
      <c r="K37" s="90" t="s">
        <v>224</v>
      </c>
      <c r="L37" s="90" t="s">
        <v>224</v>
      </c>
      <c r="M37" s="90" t="s">
        <v>224</v>
      </c>
      <c r="N37" s="90" t="s">
        <v>224</v>
      </c>
      <c r="O37" s="90" t="s">
        <v>224</v>
      </c>
      <c r="P37" s="90" t="s">
        <v>224</v>
      </c>
      <c r="Q37" s="90" t="s">
        <v>224</v>
      </c>
      <c r="R37" s="90" t="s">
        <v>224</v>
      </c>
      <c r="S37" s="90" t="s">
        <v>224</v>
      </c>
      <c r="T37" s="90" t="s">
        <v>224</v>
      </c>
      <c r="U37" s="90" t="s">
        <v>224</v>
      </c>
      <c r="V37" s="90" t="s">
        <v>224</v>
      </c>
      <c r="W37" s="128">
        <v>309202</v>
      </c>
    </row>
    <row r="38" spans="2:23" x14ac:dyDescent="0.15">
      <c r="B38" s="21"/>
      <c r="C38" s="90" t="s">
        <v>43</v>
      </c>
      <c r="D38" s="90" t="s">
        <v>45</v>
      </c>
      <c r="E38" s="90" t="s">
        <v>46</v>
      </c>
      <c r="F38" s="90" t="s">
        <v>44</v>
      </c>
      <c r="G38" s="90" t="s">
        <v>48</v>
      </c>
      <c r="H38" s="90" t="s">
        <v>49</v>
      </c>
      <c r="I38" s="90" t="s">
        <v>47</v>
      </c>
      <c r="J38" s="90" t="s">
        <v>50</v>
      </c>
      <c r="K38" s="90" t="s">
        <v>224</v>
      </c>
      <c r="L38" s="90" t="s">
        <v>224</v>
      </c>
      <c r="M38" s="90" t="s">
        <v>224</v>
      </c>
      <c r="N38" s="90" t="s">
        <v>224</v>
      </c>
      <c r="O38" s="90" t="s">
        <v>224</v>
      </c>
      <c r="P38" s="90" t="s">
        <v>224</v>
      </c>
      <c r="Q38" s="90" t="s">
        <v>224</v>
      </c>
      <c r="R38" s="90" t="s">
        <v>224</v>
      </c>
      <c r="S38" s="90" t="s">
        <v>224</v>
      </c>
      <c r="T38" s="90" t="s">
        <v>224</v>
      </c>
      <c r="U38" s="90" t="s">
        <v>224</v>
      </c>
      <c r="V38" s="90" t="s">
        <v>224</v>
      </c>
      <c r="W38" s="128">
        <v>309202</v>
      </c>
    </row>
    <row r="39" spans="2:23" x14ac:dyDescent="0.15">
      <c r="B39" s="21"/>
      <c r="C39" s="90" t="s">
        <v>43</v>
      </c>
      <c r="D39" s="90" t="s">
        <v>45</v>
      </c>
      <c r="E39" s="90" t="s">
        <v>46</v>
      </c>
      <c r="F39" s="90" t="s">
        <v>44</v>
      </c>
      <c r="G39" s="90" t="s">
        <v>48</v>
      </c>
      <c r="H39" s="90" t="s">
        <v>49</v>
      </c>
      <c r="I39" s="90" t="s">
        <v>47</v>
      </c>
      <c r="J39" s="90" t="s">
        <v>50</v>
      </c>
      <c r="K39" s="90" t="s">
        <v>224</v>
      </c>
      <c r="L39" s="90" t="s">
        <v>224</v>
      </c>
      <c r="M39" s="90" t="s">
        <v>224</v>
      </c>
      <c r="N39" s="90" t="s">
        <v>224</v>
      </c>
      <c r="O39" s="90" t="s">
        <v>224</v>
      </c>
      <c r="P39" s="90" t="s">
        <v>224</v>
      </c>
      <c r="Q39" s="90" t="s">
        <v>224</v>
      </c>
      <c r="R39" s="90" t="s">
        <v>224</v>
      </c>
      <c r="S39" s="90" t="s">
        <v>224</v>
      </c>
      <c r="T39" s="90" t="s">
        <v>224</v>
      </c>
      <c r="U39" s="90" t="s">
        <v>224</v>
      </c>
      <c r="V39" s="90" t="s">
        <v>224</v>
      </c>
      <c r="W39" s="128">
        <v>309202</v>
      </c>
    </row>
    <row r="40" spans="2:23" x14ac:dyDescent="0.15">
      <c r="B40" s="21"/>
      <c r="C40" s="90" t="s">
        <v>43</v>
      </c>
      <c r="D40" s="90" t="s">
        <v>45</v>
      </c>
      <c r="E40" s="90" t="s">
        <v>46</v>
      </c>
      <c r="F40" s="90" t="s">
        <v>44</v>
      </c>
      <c r="G40" s="90" t="s">
        <v>48</v>
      </c>
      <c r="H40" s="90" t="s">
        <v>49</v>
      </c>
      <c r="I40" s="90" t="s">
        <v>47</v>
      </c>
      <c r="J40" s="90" t="s">
        <v>50</v>
      </c>
      <c r="K40" s="90" t="s">
        <v>224</v>
      </c>
      <c r="L40" s="90" t="s">
        <v>224</v>
      </c>
      <c r="M40" s="90" t="s">
        <v>224</v>
      </c>
      <c r="N40" s="90" t="s">
        <v>224</v>
      </c>
      <c r="O40" s="90" t="s">
        <v>224</v>
      </c>
      <c r="P40" s="90" t="s">
        <v>224</v>
      </c>
      <c r="Q40" s="90" t="s">
        <v>224</v>
      </c>
      <c r="R40" s="90" t="s">
        <v>224</v>
      </c>
      <c r="S40" s="90" t="s">
        <v>224</v>
      </c>
      <c r="T40" s="90" t="s">
        <v>224</v>
      </c>
      <c r="U40" s="90" t="s">
        <v>224</v>
      </c>
      <c r="V40" s="90" t="s">
        <v>224</v>
      </c>
      <c r="W40" s="128">
        <v>309202</v>
      </c>
    </row>
    <row r="41" spans="2:23" x14ac:dyDescent="0.15">
      <c r="B41" s="21"/>
      <c r="C41" s="90" t="s">
        <v>43</v>
      </c>
      <c r="D41" s="90" t="s">
        <v>45</v>
      </c>
      <c r="E41" s="90" t="s">
        <v>46</v>
      </c>
      <c r="F41" s="90" t="s">
        <v>44</v>
      </c>
      <c r="G41" s="90" t="s">
        <v>48</v>
      </c>
      <c r="H41" s="90" t="s">
        <v>49</v>
      </c>
      <c r="I41" s="90" t="s">
        <v>47</v>
      </c>
      <c r="J41" s="90" t="s">
        <v>50</v>
      </c>
      <c r="K41" s="90" t="s">
        <v>224</v>
      </c>
      <c r="L41" s="90" t="s">
        <v>224</v>
      </c>
      <c r="M41" s="90" t="s">
        <v>224</v>
      </c>
      <c r="N41" s="90" t="s">
        <v>224</v>
      </c>
      <c r="O41" s="90" t="s">
        <v>224</v>
      </c>
      <c r="P41" s="90" t="s">
        <v>224</v>
      </c>
      <c r="Q41" s="90" t="s">
        <v>224</v>
      </c>
      <c r="R41" s="90" t="s">
        <v>224</v>
      </c>
      <c r="S41" s="90" t="s">
        <v>224</v>
      </c>
      <c r="T41" s="90" t="s">
        <v>224</v>
      </c>
      <c r="U41" s="90" t="s">
        <v>224</v>
      </c>
      <c r="V41" s="90" t="s">
        <v>224</v>
      </c>
      <c r="W41" s="128">
        <v>309202</v>
      </c>
    </row>
    <row r="42" spans="2:23" x14ac:dyDescent="0.15">
      <c r="B42" s="21"/>
      <c r="C42" s="90" t="s">
        <v>43</v>
      </c>
      <c r="D42" s="90" t="s">
        <v>45</v>
      </c>
      <c r="E42" s="90" t="s">
        <v>46</v>
      </c>
      <c r="F42" s="90" t="s">
        <v>44</v>
      </c>
      <c r="G42" s="90" t="s">
        <v>48</v>
      </c>
      <c r="H42" s="90" t="s">
        <v>49</v>
      </c>
      <c r="I42" s="90" t="s">
        <v>47</v>
      </c>
      <c r="J42" s="90" t="s">
        <v>50</v>
      </c>
      <c r="K42" s="90" t="s">
        <v>224</v>
      </c>
      <c r="L42" s="90" t="s">
        <v>224</v>
      </c>
      <c r="M42" s="90" t="s">
        <v>224</v>
      </c>
      <c r="N42" s="90" t="s">
        <v>224</v>
      </c>
      <c r="O42" s="90" t="s">
        <v>224</v>
      </c>
      <c r="P42" s="90" t="s">
        <v>224</v>
      </c>
      <c r="Q42" s="90" t="s">
        <v>224</v>
      </c>
      <c r="R42" s="90" t="s">
        <v>224</v>
      </c>
      <c r="S42" s="90" t="s">
        <v>224</v>
      </c>
      <c r="T42" s="90" t="s">
        <v>224</v>
      </c>
      <c r="U42" s="90" t="s">
        <v>224</v>
      </c>
      <c r="V42" s="90" t="s">
        <v>224</v>
      </c>
      <c r="W42" s="128">
        <v>309202</v>
      </c>
    </row>
    <row r="43" spans="2:23" x14ac:dyDescent="0.15">
      <c r="B43" s="21"/>
      <c r="C43" s="90" t="s">
        <v>43</v>
      </c>
      <c r="D43" s="90" t="s">
        <v>45</v>
      </c>
      <c r="E43" s="90" t="s">
        <v>46</v>
      </c>
      <c r="F43" s="90" t="s">
        <v>44</v>
      </c>
      <c r="G43" s="90" t="s">
        <v>48</v>
      </c>
      <c r="H43" s="90" t="s">
        <v>49</v>
      </c>
      <c r="I43" s="90" t="s">
        <v>47</v>
      </c>
      <c r="J43" s="90" t="s">
        <v>50</v>
      </c>
      <c r="K43" s="90" t="s">
        <v>224</v>
      </c>
      <c r="L43" s="90" t="s">
        <v>224</v>
      </c>
      <c r="M43" s="90" t="s">
        <v>224</v>
      </c>
      <c r="N43" s="90" t="s">
        <v>224</v>
      </c>
      <c r="O43" s="90" t="s">
        <v>224</v>
      </c>
      <c r="P43" s="90" t="s">
        <v>224</v>
      </c>
      <c r="Q43" s="90" t="s">
        <v>224</v>
      </c>
      <c r="R43" s="90" t="s">
        <v>224</v>
      </c>
      <c r="S43" s="90" t="s">
        <v>224</v>
      </c>
      <c r="T43" s="90" t="s">
        <v>224</v>
      </c>
      <c r="U43" s="90" t="s">
        <v>224</v>
      </c>
      <c r="V43" s="90" t="s">
        <v>224</v>
      </c>
      <c r="W43" s="128">
        <v>309202</v>
      </c>
    </row>
    <row r="44" spans="2:23" x14ac:dyDescent="0.15">
      <c r="B44" s="21"/>
      <c r="C44" s="90" t="s">
        <v>43</v>
      </c>
      <c r="D44" s="90" t="s">
        <v>45</v>
      </c>
      <c r="E44" s="90" t="s">
        <v>46</v>
      </c>
      <c r="F44" s="90" t="s">
        <v>44</v>
      </c>
      <c r="G44" s="90" t="s">
        <v>48</v>
      </c>
      <c r="H44" s="90" t="s">
        <v>49</v>
      </c>
      <c r="I44" s="90" t="s">
        <v>47</v>
      </c>
      <c r="J44" s="90" t="s">
        <v>50</v>
      </c>
      <c r="K44" s="90" t="s">
        <v>224</v>
      </c>
      <c r="L44" s="90" t="s">
        <v>224</v>
      </c>
      <c r="M44" s="90" t="s">
        <v>224</v>
      </c>
      <c r="N44" s="90" t="s">
        <v>224</v>
      </c>
      <c r="O44" s="90" t="s">
        <v>224</v>
      </c>
      <c r="P44" s="90" t="s">
        <v>224</v>
      </c>
      <c r="Q44" s="90" t="s">
        <v>224</v>
      </c>
      <c r="R44" s="90" t="s">
        <v>224</v>
      </c>
      <c r="S44" s="90" t="s">
        <v>224</v>
      </c>
      <c r="T44" s="90" t="s">
        <v>224</v>
      </c>
      <c r="U44" s="90" t="s">
        <v>224</v>
      </c>
      <c r="V44" s="90" t="s">
        <v>224</v>
      </c>
      <c r="W44" s="128">
        <v>309202</v>
      </c>
    </row>
    <row r="45" spans="2:23" x14ac:dyDescent="0.15">
      <c r="B45" s="21"/>
      <c r="C45" s="90" t="s">
        <v>43</v>
      </c>
      <c r="D45" s="90" t="s">
        <v>45</v>
      </c>
      <c r="E45" s="90" t="s">
        <v>46</v>
      </c>
      <c r="F45" s="90" t="s">
        <v>44</v>
      </c>
      <c r="G45" s="90" t="s">
        <v>48</v>
      </c>
      <c r="H45" s="90" t="s">
        <v>49</v>
      </c>
      <c r="I45" s="90" t="s">
        <v>47</v>
      </c>
      <c r="J45" s="90" t="s">
        <v>50</v>
      </c>
      <c r="K45" s="90" t="s">
        <v>224</v>
      </c>
      <c r="L45" s="90" t="s">
        <v>224</v>
      </c>
      <c r="M45" s="90" t="s">
        <v>224</v>
      </c>
      <c r="N45" s="90" t="s">
        <v>224</v>
      </c>
      <c r="O45" s="90" t="s">
        <v>224</v>
      </c>
      <c r="P45" s="90" t="s">
        <v>224</v>
      </c>
      <c r="Q45" s="90" t="s">
        <v>224</v>
      </c>
      <c r="R45" s="90" t="s">
        <v>224</v>
      </c>
      <c r="S45" s="90" t="s">
        <v>224</v>
      </c>
      <c r="T45" s="90" t="s">
        <v>224</v>
      </c>
      <c r="U45" s="90" t="s">
        <v>224</v>
      </c>
      <c r="V45" s="90" t="s">
        <v>224</v>
      </c>
      <c r="W45" s="128">
        <v>309202</v>
      </c>
    </row>
    <row r="46" spans="2:23" x14ac:dyDescent="0.15">
      <c r="B46" s="21"/>
      <c r="C46" s="90" t="s">
        <v>43</v>
      </c>
      <c r="D46" s="90" t="s">
        <v>45</v>
      </c>
      <c r="E46" s="90" t="s">
        <v>46</v>
      </c>
      <c r="F46" s="90" t="s">
        <v>44</v>
      </c>
      <c r="G46" s="90" t="s">
        <v>48</v>
      </c>
      <c r="H46" s="90" t="s">
        <v>49</v>
      </c>
      <c r="I46" s="90" t="s">
        <v>47</v>
      </c>
      <c r="J46" s="90" t="s">
        <v>50</v>
      </c>
      <c r="K46" s="90" t="s">
        <v>224</v>
      </c>
      <c r="L46" s="90" t="s">
        <v>224</v>
      </c>
      <c r="M46" s="90" t="s">
        <v>224</v>
      </c>
      <c r="N46" s="90" t="s">
        <v>224</v>
      </c>
      <c r="O46" s="90" t="s">
        <v>224</v>
      </c>
      <c r="P46" s="90" t="s">
        <v>224</v>
      </c>
      <c r="Q46" s="90" t="s">
        <v>224</v>
      </c>
      <c r="R46" s="90" t="s">
        <v>224</v>
      </c>
      <c r="S46" s="90" t="s">
        <v>224</v>
      </c>
      <c r="T46" s="90" t="s">
        <v>224</v>
      </c>
      <c r="U46" s="90" t="s">
        <v>224</v>
      </c>
      <c r="V46" s="90" t="s">
        <v>224</v>
      </c>
      <c r="W46" s="128">
        <v>309202</v>
      </c>
    </row>
    <row r="47" spans="2:23" x14ac:dyDescent="0.15">
      <c r="B47" s="21"/>
      <c r="C47" s="90" t="s">
        <v>43</v>
      </c>
      <c r="D47" s="90" t="s">
        <v>45</v>
      </c>
      <c r="E47" s="90" t="s">
        <v>46</v>
      </c>
      <c r="F47" s="90" t="s">
        <v>44</v>
      </c>
      <c r="G47" s="90" t="s">
        <v>48</v>
      </c>
      <c r="H47" s="90" t="s">
        <v>49</v>
      </c>
      <c r="I47" s="90" t="s">
        <v>47</v>
      </c>
      <c r="J47" s="90" t="s">
        <v>50</v>
      </c>
      <c r="K47" s="90" t="s">
        <v>224</v>
      </c>
      <c r="L47" s="90" t="s">
        <v>224</v>
      </c>
      <c r="M47" s="90" t="s">
        <v>224</v>
      </c>
      <c r="N47" s="90" t="s">
        <v>224</v>
      </c>
      <c r="O47" s="90" t="s">
        <v>224</v>
      </c>
      <c r="P47" s="90" t="s">
        <v>224</v>
      </c>
      <c r="Q47" s="90" t="s">
        <v>224</v>
      </c>
      <c r="R47" s="90" t="s">
        <v>224</v>
      </c>
      <c r="S47" s="90" t="s">
        <v>224</v>
      </c>
      <c r="T47" s="90" t="s">
        <v>224</v>
      </c>
      <c r="U47" s="90" t="s">
        <v>224</v>
      </c>
      <c r="V47" s="90" t="s">
        <v>224</v>
      </c>
      <c r="W47" s="128">
        <v>309202</v>
      </c>
    </row>
    <row r="48" spans="2:23" x14ac:dyDescent="0.15">
      <c r="B48" s="21"/>
      <c r="C48" s="90" t="s">
        <v>43</v>
      </c>
      <c r="D48" s="90" t="s">
        <v>45</v>
      </c>
      <c r="E48" s="90" t="s">
        <v>46</v>
      </c>
      <c r="F48" s="90" t="s">
        <v>44</v>
      </c>
      <c r="G48" s="90" t="s">
        <v>48</v>
      </c>
      <c r="H48" s="90" t="s">
        <v>49</v>
      </c>
      <c r="I48" s="90" t="s">
        <v>47</v>
      </c>
      <c r="J48" s="90" t="s">
        <v>50</v>
      </c>
      <c r="K48" s="90" t="s">
        <v>224</v>
      </c>
      <c r="L48" s="90" t="s">
        <v>224</v>
      </c>
      <c r="M48" s="90" t="s">
        <v>224</v>
      </c>
      <c r="N48" s="90" t="s">
        <v>224</v>
      </c>
      <c r="O48" s="90" t="s">
        <v>224</v>
      </c>
      <c r="P48" s="90" t="s">
        <v>224</v>
      </c>
      <c r="Q48" s="90" t="s">
        <v>224</v>
      </c>
      <c r="R48" s="90" t="s">
        <v>224</v>
      </c>
      <c r="S48" s="90" t="s">
        <v>224</v>
      </c>
      <c r="T48" s="90" t="s">
        <v>224</v>
      </c>
      <c r="U48" s="90" t="s">
        <v>224</v>
      </c>
      <c r="V48" s="90" t="s">
        <v>224</v>
      </c>
      <c r="W48" s="128">
        <v>309202</v>
      </c>
    </row>
    <row r="49" spans="2:23" x14ac:dyDescent="0.15">
      <c r="B49" s="21"/>
      <c r="C49" s="90" t="s">
        <v>43</v>
      </c>
      <c r="D49" s="90" t="s">
        <v>45</v>
      </c>
      <c r="E49" s="90" t="s">
        <v>46</v>
      </c>
      <c r="F49" s="90" t="s">
        <v>44</v>
      </c>
      <c r="G49" s="90" t="s">
        <v>48</v>
      </c>
      <c r="H49" s="90" t="s">
        <v>49</v>
      </c>
      <c r="I49" s="90" t="s">
        <v>47</v>
      </c>
      <c r="J49" s="90" t="s">
        <v>50</v>
      </c>
      <c r="K49" s="90" t="s">
        <v>224</v>
      </c>
      <c r="L49" s="90" t="s">
        <v>224</v>
      </c>
      <c r="M49" s="90" t="s">
        <v>224</v>
      </c>
      <c r="N49" s="90" t="s">
        <v>224</v>
      </c>
      <c r="O49" s="90" t="s">
        <v>224</v>
      </c>
      <c r="P49" s="90" t="s">
        <v>224</v>
      </c>
      <c r="Q49" s="90" t="s">
        <v>224</v>
      </c>
      <c r="R49" s="90" t="s">
        <v>224</v>
      </c>
      <c r="S49" s="90" t="s">
        <v>224</v>
      </c>
      <c r="T49" s="90" t="s">
        <v>224</v>
      </c>
      <c r="U49" s="90" t="s">
        <v>224</v>
      </c>
      <c r="V49" s="90" t="s">
        <v>224</v>
      </c>
      <c r="W49" s="128">
        <v>309202</v>
      </c>
    </row>
    <row r="50" spans="2:23" x14ac:dyDescent="0.15">
      <c r="B50" s="21"/>
      <c r="C50" s="90" t="s">
        <v>43</v>
      </c>
      <c r="D50" s="90" t="s">
        <v>45</v>
      </c>
      <c r="E50" s="90" t="s">
        <v>46</v>
      </c>
      <c r="F50" s="90" t="s">
        <v>44</v>
      </c>
      <c r="G50" s="90" t="s">
        <v>48</v>
      </c>
      <c r="H50" s="90" t="s">
        <v>49</v>
      </c>
      <c r="I50" s="90" t="s">
        <v>47</v>
      </c>
      <c r="J50" s="90" t="s">
        <v>50</v>
      </c>
      <c r="K50" s="90" t="s">
        <v>224</v>
      </c>
      <c r="L50" s="90" t="s">
        <v>224</v>
      </c>
      <c r="M50" s="90" t="s">
        <v>224</v>
      </c>
      <c r="N50" s="90" t="s">
        <v>224</v>
      </c>
      <c r="O50" s="90" t="s">
        <v>224</v>
      </c>
      <c r="P50" s="90" t="s">
        <v>224</v>
      </c>
      <c r="Q50" s="90" t="s">
        <v>224</v>
      </c>
      <c r="R50" s="90" t="s">
        <v>224</v>
      </c>
      <c r="S50" s="90" t="s">
        <v>224</v>
      </c>
      <c r="T50" s="90" t="s">
        <v>224</v>
      </c>
      <c r="U50" s="90" t="s">
        <v>224</v>
      </c>
      <c r="V50" s="90" t="s">
        <v>224</v>
      </c>
      <c r="W50" s="128">
        <v>309202</v>
      </c>
    </row>
    <row r="51" spans="2:23" x14ac:dyDescent="0.15">
      <c r="B51" s="21"/>
      <c r="C51" s="90" t="s">
        <v>43</v>
      </c>
      <c r="D51" s="90" t="s">
        <v>45</v>
      </c>
      <c r="E51" s="90" t="s">
        <v>46</v>
      </c>
      <c r="F51" s="90" t="s">
        <v>44</v>
      </c>
      <c r="G51" s="90" t="s">
        <v>48</v>
      </c>
      <c r="H51" s="90" t="s">
        <v>49</v>
      </c>
      <c r="I51" s="90" t="s">
        <v>47</v>
      </c>
      <c r="J51" s="90" t="s">
        <v>50</v>
      </c>
      <c r="K51" s="90" t="s">
        <v>224</v>
      </c>
      <c r="L51" s="90" t="s">
        <v>224</v>
      </c>
      <c r="M51" s="90" t="s">
        <v>224</v>
      </c>
      <c r="N51" s="90" t="s">
        <v>224</v>
      </c>
      <c r="O51" s="90" t="s">
        <v>224</v>
      </c>
      <c r="P51" s="90" t="s">
        <v>224</v>
      </c>
      <c r="Q51" s="90" t="s">
        <v>224</v>
      </c>
      <c r="R51" s="90" t="s">
        <v>224</v>
      </c>
      <c r="S51" s="90" t="s">
        <v>224</v>
      </c>
      <c r="T51" s="90" t="s">
        <v>224</v>
      </c>
      <c r="U51" s="90" t="s">
        <v>224</v>
      </c>
      <c r="V51" s="90" t="s">
        <v>224</v>
      </c>
      <c r="W51" s="128">
        <v>309202</v>
      </c>
    </row>
    <row r="52" spans="2:23" x14ac:dyDescent="0.15">
      <c r="B52" s="21"/>
      <c r="C52" s="90" t="s">
        <v>43</v>
      </c>
      <c r="D52" s="90" t="s">
        <v>45</v>
      </c>
      <c r="E52" s="90" t="s">
        <v>46</v>
      </c>
      <c r="F52" s="90" t="s">
        <v>44</v>
      </c>
      <c r="G52" s="90" t="s">
        <v>48</v>
      </c>
      <c r="H52" s="90" t="s">
        <v>49</v>
      </c>
      <c r="I52" s="90" t="s">
        <v>47</v>
      </c>
      <c r="J52" s="90" t="s">
        <v>50</v>
      </c>
      <c r="K52" s="90" t="s">
        <v>224</v>
      </c>
      <c r="L52" s="90" t="s">
        <v>224</v>
      </c>
      <c r="M52" s="90" t="s">
        <v>224</v>
      </c>
      <c r="N52" s="90" t="s">
        <v>224</v>
      </c>
      <c r="O52" s="90" t="s">
        <v>224</v>
      </c>
      <c r="P52" s="90" t="s">
        <v>224</v>
      </c>
      <c r="Q52" s="90" t="s">
        <v>224</v>
      </c>
      <c r="R52" s="90" t="s">
        <v>224</v>
      </c>
      <c r="S52" s="90" t="s">
        <v>224</v>
      </c>
      <c r="T52" s="90" t="s">
        <v>224</v>
      </c>
      <c r="U52" s="90" t="s">
        <v>224</v>
      </c>
      <c r="V52" s="90" t="s">
        <v>224</v>
      </c>
      <c r="W52" s="128">
        <v>309202</v>
      </c>
    </row>
    <row r="53" spans="2:23" x14ac:dyDescent="0.15">
      <c r="B53" s="21"/>
      <c r="C53" s="90" t="s">
        <v>43</v>
      </c>
      <c r="D53" s="90" t="s">
        <v>45</v>
      </c>
      <c r="E53" s="90" t="s">
        <v>46</v>
      </c>
      <c r="F53" s="90" t="s">
        <v>44</v>
      </c>
      <c r="G53" s="90" t="s">
        <v>48</v>
      </c>
      <c r="H53" s="90" t="s">
        <v>49</v>
      </c>
      <c r="I53" s="90" t="s">
        <v>47</v>
      </c>
      <c r="J53" s="90" t="s">
        <v>50</v>
      </c>
      <c r="K53" s="90" t="s">
        <v>224</v>
      </c>
      <c r="L53" s="90" t="s">
        <v>224</v>
      </c>
      <c r="M53" s="90" t="s">
        <v>224</v>
      </c>
      <c r="N53" s="90" t="s">
        <v>224</v>
      </c>
      <c r="O53" s="90" t="s">
        <v>224</v>
      </c>
      <c r="P53" s="90" t="s">
        <v>224</v>
      </c>
      <c r="Q53" s="90" t="s">
        <v>224</v>
      </c>
      <c r="R53" s="90" t="s">
        <v>224</v>
      </c>
      <c r="S53" s="90" t="s">
        <v>224</v>
      </c>
      <c r="T53" s="90" t="s">
        <v>224</v>
      </c>
      <c r="U53" s="90" t="s">
        <v>224</v>
      </c>
      <c r="V53" s="90" t="s">
        <v>224</v>
      </c>
      <c r="W53" s="128">
        <v>309202</v>
      </c>
    </row>
    <row r="54" spans="2:23" x14ac:dyDescent="0.15">
      <c r="B54" s="21"/>
      <c r="C54" s="90" t="s">
        <v>43</v>
      </c>
      <c r="D54" s="90" t="s">
        <v>45</v>
      </c>
      <c r="E54" s="90" t="s">
        <v>46</v>
      </c>
      <c r="F54" s="90" t="s">
        <v>44</v>
      </c>
      <c r="G54" s="90" t="s">
        <v>48</v>
      </c>
      <c r="H54" s="90" t="s">
        <v>49</v>
      </c>
      <c r="I54" s="90" t="s">
        <v>47</v>
      </c>
      <c r="J54" s="90" t="s">
        <v>50</v>
      </c>
      <c r="K54" s="90" t="s">
        <v>224</v>
      </c>
      <c r="L54" s="90" t="s">
        <v>224</v>
      </c>
      <c r="M54" s="90" t="s">
        <v>224</v>
      </c>
      <c r="N54" s="90" t="s">
        <v>224</v>
      </c>
      <c r="O54" s="90" t="s">
        <v>224</v>
      </c>
      <c r="P54" s="90" t="s">
        <v>224</v>
      </c>
      <c r="Q54" s="90" t="s">
        <v>224</v>
      </c>
      <c r="R54" s="90" t="s">
        <v>224</v>
      </c>
      <c r="S54" s="90" t="s">
        <v>224</v>
      </c>
      <c r="T54" s="90" t="s">
        <v>224</v>
      </c>
      <c r="U54" s="90" t="s">
        <v>224</v>
      </c>
      <c r="V54" s="90" t="s">
        <v>224</v>
      </c>
      <c r="W54" s="128">
        <v>309202</v>
      </c>
    </row>
    <row r="55" spans="2:23" x14ac:dyDescent="0.15">
      <c r="B55" s="21"/>
      <c r="C55" s="90" t="s">
        <v>43</v>
      </c>
      <c r="D55" s="90" t="s">
        <v>45</v>
      </c>
      <c r="E55" s="90" t="s">
        <v>46</v>
      </c>
      <c r="F55" s="90" t="s">
        <v>44</v>
      </c>
      <c r="G55" s="90" t="s">
        <v>48</v>
      </c>
      <c r="H55" s="90" t="s">
        <v>49</v>
      </c>
      <c r="I55" s="90" t="s">
        <v>47</v>
      </c>
      <c r="J55" s="90" t="s">
        <v>50</v>
      </c>
      <c r="K55" s="90" t="s">
        <v>224</v>
      </c>
      <c r="L55" s="90" t="s">
        <v>224</v>
      </c>
      <c r="M55" s="90" t="s">
        <v>224</v>
      </c>
      <c r="N55" s="90" t="s">
        <v>224</v>
      </c>
      <c r="O55" s="90" t="s">
        <v>224</v>
      </c>
      <c r="P55" s="90" t="s">
        <v>224</v>
      </c>
      <c r="Q55" s="90" t="s">
        <v>224</v>
      </c>
      <c r="R55" s="90" t="s">
        <v>224</v>
      </c>
      <c r="S55" s="90" t="s">
        <v>224</v>
      </c>
      <c r="T55" s="90" t="s">
        <v>224</v>
      </c>
      <c r="U55" s="90" t="s">
        <v>224</v>
      </c>
      <c r="V55" s="90" t="s">
        <v>224</v>
      </c>
      <c r="W55" s="128">
        <v>309202</v>
      </c>
    </row>
    <row r="56" spans="2:23" x14ac:dyDescent="0.15">
      <c r="B56" s="21"/>
      <c r="C56" s="90" t="s">
        <v>43</v>
      </c>
      <c r="D56" s="90" t="s">
        <v>45</v>
      </c>
      <c r="E56" s="90" t="s">
        <v>46</v>
      </c>
      <c r="F56" s="90" t="s">
        <v>44</v>
      </c>
      <c r="G56" s="90" t="s">
        <v>48</v>
      </c>
      <c r="H56" s="90" t="s">
        <v>49</v>
      </c>
      <c r="I56" s="90" t="s">
        <v>47</v>
      </c>
      <c r="J56" s="90" t="s">
        <v>50</v>
      </c>
      <c r="K56" s="90" t="s">
        <v>224</v>
      </c>
      <c r="L56" s="90" t="s">
        <v>224</v>
      </c>
      <c r="M56" s="90" t="s">
        <v>224</v>
      </c>
      <c r="N56" s="90" t="s">
        <v>224</v>
      </c>
      <c r="O56" s="90" t="s">
        <v>224</v>
      </c>
      <c r="P56" s="90" t="s">
        <v>224</v>
      </c>
      <c r="Q56" s="90" t="s">
        <v>224</v>
      </c>
      <c r="R56" s="90" t="s">
        <v>224</v>
      </c>
      <c r="S56" s="90" t="s">
        <v>224</v>
      </c>
      <c r="T56" s="90" t="s">
        <v>224</v>
      </c>
      <c r="U56" s="90" t="s">
        <v>224</v>
      </c>
      <c r="V56" s="90" t="s">
        <v>224</v>
      </c>
      <c r="W56" s="128">
        <v>309202</v>
      </c>
    </row>
    <row r="57" spans="2:23" x14ac:dyDescent="0.15">
      <c r="B57" s="21"/>
      <c r="C57" s="90" t="s">
        <v>43</v>
      </c>
      <c r="D57" s="90" t="s">
        <v>45</v>
      </c>
      <c r="E57" s="90" t="s">
        <v>46</v>
      </c>
      <c r="F57" s="90" t="s">
        <v>44</v>
      </c>
      <c r="G57" s="90" t="s">
        <v>48</v>
      </c>
      <c r="H57" s="90" t="s">
        <v>49</v>
      </c>
      <c r="I57" s="90" t="s">
        <v>47</v>
      </c>
      <c r="J57" s="90" t="s">
        <v>50</v>
      </c>
      <c r="K57" s="90" t="s">
        <v>224</v>
      </c>
      <c r="L57" s="90" t="s">
        <v>224</v>
      </c>
      <c r="M57" s="90" t="s">
        <v>224</v>
      </c>
      <c r="N57" s="90" t="s">
        <v>224</v>
      </c>
      <c r="O57" s="90" t="s">
        <v>224</v>
      </c>
      <c r="P57" s="90" t="s">
        <v>224</v>
      </c>
      <c r="Q57" s="90" t="s">
        <v>224</v>
      </c>
      <c r="R57" s="90" t="s">
        <v>224</v>
      </c>
      <c r="S57" s="90" t="s">
        <v>224</v>
      </c>
      <c r="T57" s="90" t="s">
        <v>224</v>
      </c>
      <c r="U57" s="90" t="s">
        <v>224</v>
      </c>
      <c r="V57" s="90" t="s">
        <v>224</v>
      </c>
      <c r="W57" s="128">
        <v>309202</v>
      </c>
    </row>
    <row r="58" spans="2:23" x14ac:dyDescent="0.15">
      <c r="B58" s="21"/>
      <c r="C58" s="90" t="s">
        <v>43</v>
      </c>
      <c r="D58" s="90" t="s">
        <v>45</v>
      </c>
      <c r="E58" s="90" t="s">
        <v>46</v>
      </c>
      <c r="F58" s="90" t="s">
        <v>44</v>
      </c>
      <c r="G58" s="90" t="s">
        <v>48</v>
      </c>
      <c r="H58" s="90" t="s">
        <v>49</v>
      </c>
      <c r="I58" s="90" t="s">
        <v>47</v>
      </c>
      <c r="J58" s="90" t="s">
        <v>50</v>
      </c>
      <c r="K58" s="90" t="s">
        <v>224</v>
      </c>
      <c r="L58" s="90" t="s">
        <v>224</v>
      </c>
      <c r="M58" s="90" t="s">
        <v>224</v>
      </c>
      <c r="N58" s="90" t="s">
        <v>224</v>
      </c>
      <c r="O58" s="90" t="s">
        <v>224</v>
      </c>
      <c r="P58" s="90" t="s">
        <v>224</v>
      </c>
      <c r="Q58" s="90" t="s">
        <v>224</v>
      </c>
      <c r="R58" s="90" t="s">
        <v>224</v>
      </c>
      <c r="S58" s="90" t="s">
        <v>224</v>
      </c>
      <c r="T58" s="90" t="s">
        <v>224</v>
      </c>
      <c r="U58" s="90" t="s">
        <v>224</v>
      </c>
      <c r="V58" s="90" t="s">
        <v>224</v>
      </c>
      <c r="W58" s="128">
        <v>309202</v>
      </c>
    </row>
    <row r="59" spans="2:23" x14ac:dyDescent="0.15">
      <c r="B59" s="21"/>
      <c r="C59" s="90" t="s">
        <v>43</v>
      </c>
      <c r="D59" s="90" t="s">
        <v>45</v>
      </c>
      <c r="E59" s="90" t="s">
        <v>46</v>
      </c>
      <c r="F59" s="90" t="s">
        <v>44</v>
      </c>
      <c r="G59" s="90" t="s">
        <v>48</v>
      </c>
      <c r="H59" s="90" t="s">
        <v>49</v>
      </c>
      <c r="I59" s="90" t="s">
        <v>47</v>
      </c>
      <c r="J59" s="90" t="s">
        <v>50</v>
      </c>
      <c r="K59" s="90" t="s">
        <v>224</v>
      </c>
      <c r="L59" s="90" t="s">
        <v>224</v>
      </c>
      <c r="M59" s="90" t="s">
        <v>224</v>
      </c>
      <c r="N59" s="90" t="s">
        <v>224</v>
      </c>
      <c r="O59" s="90" t="s">
        <v>224</v>
      </c>
      <c r="P59" s="90" t="s">
        <v>224</v>
      </c>
      <c r="Q59" s="90" t="s">
        <v>224</v>
      </c>
      <c r="R59" s="90" t="s">
        <v>224</v>
      </c>
      <c r="S59" s="90" t="s">
        <v>224</v>
      </c>
      <c r="T59" s="90" t="s">
        <v>224</v>
      </c>
      <c r="U59" s="90" t="s">
        <v>224</v>
      </c>
      <c r="V59" s="90" t="s">
        <v>224</v>
      </c>
      <c r="W59" s="128">
        <v>309202</v>
      </c>
    </row>
    <row r="60" spans="2:23" x14ac:dyDescent="0.15">
      <c r="B60" s="21"/>
      <c r="C60" s="90" t="s">
        <v>43</v>
      </c>
      <c r="D60" s="90" t="s">
        <v>45</v>
      </c>
      <c r="E60" s="90" t="s">
        <v>46</v>
      </c>
      <c r="F60" s="90" t="s">
        <v>44</v>
      </c>
      <c r="G60" s="90" t="s">
        <v>48</v>
      </c>
      <c r="H60" s="90" t="s">
        <v>49</v>
      </c>
      <c r="I60" s="90" t="s">
        <v>47</v>
      </c>
      <c r="J60" s="90" t="s">
        <v>50</v>
      </c>
      <c r="K60" s="90" t="s">
        <v>224</v>
      </c>
      <c r="L60" s="90" t="s">
        <v>224</v>
      </c>
      <c r="M60" s="90" t="s">
        <v>224</v>
      </c>
      <c r="N60" s="90" t="s">
        <v>224</v>
      </c>
      <c r="O60" s="90" t="s">
        <v>224</v>
      </c>
      <c r="P60" s="90" t="s">
        <v>224</v>
      </c>
      <c r="Q60" s="90" t="s">
        <v>224</v>
      </c>
      <c r="R60" s="90" t="s">
        <v>224</v>
      </c>
      <c r="S60" s="90" t="s">
        <v>224</v>
      </c>
      <c r="T60" s="90" t="s">
        <v>224</v>
      </c>
      <c r="U60" s="90" t="s">
        <v>224</v>
      </c>
      <c r="V60" s="90" t="s">
        <v>224</v>
      </c>
      <c r="W60" s="128">
        <v>309202</v>
      </c>
    </row>
    <row r="61" spans="2:23" x14ac:dyDescent="0.15">
      <c r="B61" s="21"/>
      <c r="C61" s="90" t="s">
        <v>43</v>
      </c>
      <c r="D61" s="90" t="s">
        <v>45</v>
      </c>
      <c r="E61" s="90" t="s">
        <v>46</v>
      </c>
      <c r="F61" s="90" t="s">
        <v>44</v>
      </c>
      <c r="G61" s="90" t="s">
        <v>48</v>
      </c>
      <c r="H61" s="90" t="s">
        <v>49</v>
      </c>
      <c r="I61" s="90" t="s">
        <v>47</v>
      </c>
      <c r="J61" s="90" t="s">
        <v>50</v>
      </c>
      <c r="K61" s="90" t="s">
        <v>224</v>
      </c>
      <c r="L61" s="90" t="s">
        <v>224</v>
      </c>
      <c r="M61" s="90" t="s">
        <v>224</v>
      </c>
      <c r="N61" s="90" t="s">
        <v>224</v>
      </c>
      <c r="O61" s="90" t="s">
        <v>224</v>
      </c>
      <c r="P61" s="90" t="s">
        <v>224</v>
      </c>
      <c r="Q61" s="90" t="s">
        <v>224</v>
      </c>
      <c r="R61" s="90" t="s">
        <v>224</v>
      </c>
      <c r="S61" s="90" t="s">
        <v>224</v>
      </c>
      <c r="T61" s="90" t="s">
        <v>224</v>
      </c>
      <c r="U61" s="90" t="s">
        <v>224</v>
      </c>
      <c r="V61" s="90" t="s">
        <v>224</v>
      </c>
      <c r="W61" s="128">
        <v>309202</v>
      </c>
    </row>
    <row r="62" spans="2:23" x14ac:dyDescent="0.15">
      <c r="B62" s="21"/>
      <c r="C62" s="90" t="s">
        <v>43</v>
      </c>
      <c r="D62" s="90" t="s">
        <v>45</v>
      </c>
      <c r="E62" s="90" t="s">
        <v>46</v>
      </c>
      <c r="F62" s="90" t="s">
        <v>44</v>
      </c>
      <c r="G62" s="90" t="s">
        <v>48</v>
      </c>
      <c r="H62" s="90" t="s">
        <v>49</v>
      </c>
      <c r="I62" s="90" t="s">
        <v>47</v>
      </c>
      <c r="J62" s="90" t="s">
        <v>50</v>
      </c>
      <c r="K62" s="90" t="s">
        <v>224</v>
      </c>
      <c r="L62" s="90" t="s">
        <v>224</v>
      </c>
      <c r="M62" s="90" t="s">
        <v>224</v>
      </c>
      <c r="N62" s="90" t="s">
        <v>224</v>
      </c>
      <c r="O62" s="90" t="s">
        <v>224</v>
      </c>
      <c r="P62" s="90" t="s">
        <v>224</v>
      </c>
      <c r="Q62" s="90" t="s">
        <v>224</v>
      </c>
      <c r="R62" s="90" t="s">
        <v>224</v>
      </c>
      <c r="S62" s="90" t="s">
        <v>224</v>
      </c>
      <c r="T62" s="90" t="s">
        <v>224</v>
      </c>
      <c r="U62" s="90" t="s">
        <v>224</v>
      </c>
      <c r="V62" s="90" t="s">
        <v>224</v>
      </c>
      <c r="W62" s="128">
        <v>309202</v>
      </c>
    </row>
    <row r="63" spans="2:23" x14ac:dyDescent="0.15">
      <c r="B63" s="21"/>
      <c r="C63" s="90" t="s">
        <v>43</v>
      </c>
      <c r="D63" s="90" t="s">
        <v>45</v>
      </c>
      <c r="E63" s="90" t="s">
        <v>46</v>
      </c>
      <c r="F63" s="90" t="s">
        <v>44</v>
      </c>
      <c r="G63" s="90" t="s">
        <v>48</v>
      </c>
      <c r="H63" s="90" t="s">
        <v>49</v>
      </c>
      <c r="I63" s="90" t="s">
        <v>47</v>
      </c>
      <c r="J63" s="90" t="s">
        <v>50</v>
      </c>
      <c r="K63" s="90" t="s">
        <v>224</v>
      </c>
      <c r="L63" s="90" t="s">
        <v>224</v>
      </c>
      <c r="M63" s="90" t="s">
        <v>224</v>
      </c>
      <c r="N63" s="90" t="s">
        <v>224</v>
      </c>
      <c r="O63" s="90" t="s">
        <v>224</v>
      </c>
      <c r="P63" s="90" t="s">
        <v>224</v>
      </c>
      <c r="Q63" s="90" t="s">
        <v>224</v>
      </c>
      <c r="R63" s="90" t="s">
        <v>224</v>
      </c>
      <c r="S63" s="90" t="s">
        <v>224</v>
      </c>
      <c r="T63" s="90" t="s">
        <v>224</v>
      </c>
      <c r="U63" s="90" t="s">
        <v>224</v>
      </c>
      <c r="V63" s="90" t="s">
        <v>224</v>
      </c>
      <c r="W63" s="128">
        <v>309202</v>
      </c>
    </row>
    <row r="64" spans="2:23" x14ac:dyDescent="0.15">
      <c r="B64" s="21"/>
      <c r="C64" s="90" t="s">
        <v>43</v>
      </c>
      <c r="D64" s="90" t="s">
        <v>45</v>
      </c>
      <c r="E64" s="90" t="s">
        <v>46</v>
      </c>
      <c r="F64" s="90" t="s">
        <v>44</v>
      </c>
      <c r="G64" s="90" t="s">
        <v>48</v>
      </c>
      <c r="H64" s="90" t="s">
        <v>49</v>
      </c>
      <c r="I64" s="90" t="s">
        <v>47</v>
      </c>
      <c r="J64" s="90" t="s">
        <v>50</v>
      </c>
      <c r="K64" s="90" t="s">
        <v>224</v>
      </c>
      <c r="L64" s="90" t="s">
        <v>224</v>
      </c>
      <c r="M64" s="90" t="s">
        <v>224</v>
      </c>
      <c r="N64" s="90" t="s">
        <v>224</v>
      </c>
      <c r="O64" s="90" t="s">
        <v>224</v>
      </c>
      <c r="P64" s="90" t="s">
        <v>224</v>
      </c>
      <c r="Q64" s="90" t="s">
        <v>224</v>
      </c>
      <c r="R64" s="90" t="s">
        <v>224</v>
      </c>
      <c r="S64" s="90" t="s">
        <v>224</v>
      </c>
      <c r="T64" s="90" t="s">
        <v>224</v>
      </c>
      <c r="U64" s="90" t="s">
        <v>224</v>
      </c>
      <c r="V64" s="90" t="s">
        <v>224</v>
      </c>
      <c r="W64" s="128">
        <v>309202</v>
      </c>
    </row>
    <row r="65" spans="2:23" x14ac:dyDescent="0.15">
      <c r="B65" s="21"/>
      <c r="C65" s="90" t="s">
        <v>43</v>
      </c>
      <c r="D65" s="90" t="s">
        <v>45</v>
      </c>
      <c r="E65" s="90" t="s">
        <v>46</v>
      </c>
      <c r="F65" s="90" t="s">
        <v>44</v>
      </c>
      <c r="G65" s="90" t="s">
        <v>48</v>
      </c>
      <c r="H65" s="90" t="s">
        <v>49</v>
      </c>
      <c r="I65" s="90" t="s">
        <v>47</v>
      </c>
      <c r="J65" s="90" t="s">
        <v>50</v>
      </c>
      <c r="K65" s="90" t="s">
        <v>224</v>
      </c>
      <c r="L65" s="90" t="s">
        <v>224</v>
      </c>
      <c r="M65" s="90" t="s">
        <v>224</v>
      </c>
      <c r="N65" s="90" t="s">
        <v>224</v>
      </c>
      <c r="O65" s="90" t="s">
        <v>224</v>
      </c>
      <c r="P65" s="90" t="s">
        <v>224</v>
      </c>
      <c r="Q65" s="90" t="s">
        <v>224</v>
      </c>
      <c r="R65" s="90" t="s">
        <v>224</v>
      </c>
      <c r="S65" s="90" t="s">
        <v>224</v>
      </c>
      <c r="T65" s="90" t="s">
        <v>224</v>
      </c>
      <c r="U65" s="90" t="s">
        <v>224</v>
      </c>
      <c r="V65" s="90" t="s">
        <v>224</v>
      </c>
      <c r="W65" s="128">
        <v>309202</v>
      </c>
    </row>
    <row r="66" spans="2:23" x14ac:dyDescent="0.15">
      <c r="B66" s="21"/>
      <c r="C66" s="90" t="s">
        <v>43</v>
      </c>
      <c r="D66" s="90" t="s">
        <v>45</v>
      </c>
      <c r="E66" s="90" t="s">
        <v>46</v>
      </c>
      <c r="F66" s="90" t="s">
        <v>44</v>
      </c>
      <c r="G66" s="90" t="s">
        <v>48</v>
      </c>
      <c r="H66" s="90" t="s">
        <v>49</v>
      </c>
      <c r="I66" s="90" t="s">
        <v>47</v>
      </c>
      <c r="J66" s="90" t="s">
        <v>50</v>
      </c>
      <c r="K66" s="90" t="s">
        <v>224</v>
      </c>
      <c r="L66" s="90" t="s">
        <v>224</v>
      </c>
      <c r="M66" s="90" t="s">
        <v>224</v>
      </c>
      <c r="N66" s="90" t="s">
        <v>224</v>
      </c>
      <c r="O66" s="90" t="s">
        <v>224</v>
      </c>
      <c r="P66" s="90" t="s">
        <v>224</v>
      </c>
      <c r="Q66" s="90" t="s">
        <v>224</v>
      </c>
      <c r="R66" s="90" t="s">
        <v>224</v>
      </c>
      <c r="S66" s="90" t="s">
        <v>224</v>
      </c>
      <c r="T66" s="90" t="s">
        <v>224</v>
      </c>
      <c r="U66" s="90" t="s">
        <v>224</v>
      </c>
      <c r="V66" s="90" t="s">
        <v>224</v>
      </c>
      <c r="W66" s="128">
        <v>309202</v>
      </c>
    </row>
    <row r="67" spans="2:23" x14ac:dyDescent="0.15">
      <c r="B67" s="21"/>
      <c r="C67" s="90" t="s">
        <v>43</v>
      </c>
      <c r="D67" s="90" t="s">
        <v>45</v>
      </c>
      <c r="E67" s="90" t="s">
        <v>46</v>
      </c>
      <c r="F67" s="90" t="s">
        <v>44</v>
      </c>
      <c r="G67" s="90" t="s">
        <v>48</v>
      </c>
      <c r="H67" s="90" t="s">
        <v>49</v>
      </c>
      <c r="I67" s="90" t="s">
        <v>47</v>
      </c>
      <c r="J67" s="90" t="s">
        <v>50</v>
      </c>
      <c r="K67" s="90" t="s">
        <v>224</v>
      </c>
      <c r="L67" s="90" t="s">
        <v>224</v>
      </c>
      <c r="M67" s="90" t="s">
        <v>224</v>
      </c>
      <c r="N67" s="90" t="s">
        <v>224</v>
      </c>
      <c r="O67" s="90" t="s">
        <v>224</v>
      </c>
      <c r="P67" s="90" t="s">
        <v>224</v>
      </c>
      <c r="Q67" s="90" t="s">
        <v>224</v>
      </c>
      <c r="R67" s="90" t="s">
        <v>224</v>
      </c>
      <c r="S67" s="90" t="s">
        <v>224</v>
      </c>
      <c r="T67" s="90" t="s">
        <v>224</v>
      </c>
      <c r="U67" s="90" t="s">
        <v>224</v>
      </c>
      <c r="V67" s="90" t="s">
        <v>224</v>
      </c>
      <c r="W67" s="128">
        <v>309202</v>
      </c>
    </row>
    <row r="68" spans="2:23" x14ac:dyDescent="0.15">
      <c r="B68" s="21"/>
      <c r="C68" s="90" t="s">
        <v>43</v>
      </c>
      <c r="D68" s="90" t="s">
        <v>45</v>
      </c>
      <c r="E68" s="90" t="s">
        <v>46</v>
      </c>
      <c r="F68" s="90" t="s">
        <v>44</v>
      </c>
      <c r="G68" s="90" t="s">
        <v>48</v>
      </c>
      <c r="H68" s="90" t="s">
        <v>49</v>
      </c>
      <c r="I68" s="90" t="s">
        <v>47</v>
      </c>
      <c r="J68" s="90" t="s">
        <v>50</v>
      </c>
      <c r="K68" s="90" t="s">
        <v>224</v>
      </c>
      <c r="L68" s="90" t="s">
        <v>224</v>
      </c>
      <c r="M68" s="90" t="s">
        <v>224</v>
      </c>
      <c r="N68" s="90" t="s">
        <v>224</v>
      </c>
      <c r="O68" s="90" t="s">
        <v>224</v>
      </c>
      <c r="P68" s="90" t="s">
        <v>224</v>
      </c>
      <c r="Q68" s="90" t="s">
        <v>224</v>
      </c>
      <c r="R68" s="90" t="s">
        <v>224</v>
      </c>
      <c r="S68" s="90" t="s">
        <v>224</v>
      </c>
      <c r="T68" s="90" t="s">
        <v>224</v>
      </c>
      <c r="U68" s="90" t="s">
        <v>224</v>
      </c>
      <c r="V68" s="90" t="s">
        <v>224</v>
      </c>
      <c r="W68" s="128">
        <v>309202</v>
      </c>
    </row>
    <row r="69" spans="2:23" x14ac:dyDescent="0.15">
      <c r="B69" s="21"/>
      <c r="C69" s="90" t="s">
        <v>43</v>
      </c>
      <c r="D69" s="90" t="s">
        <v>45</v>
      </c>
      <c r="E69" s="90" t="s">
        <v>46</v>
      </c>
      <c r="F69" s="90" t="s">
        <v>44</v>
      </c>
      <c r="G69" s="90" t="s">
        <v>48</v>
      </c>
      <c r="H69" s="90" t="s">
        <v>49</v>
      </c>
      <c r="I69" s="90" t="s">
        <v>47</v>
      </c>
      <c r="J69" s="90" t="s">
        <v>50</v>
      </c>
      <c r="K69" s="90" t="s">
        <v>224</v>
      </c>
      <c r="L69" s="90" t="s">
        <v>224</v>
      </c>
      <c r="M69" s="90" t="s">
        <v>224</v>
      </c>
      <c r="N69" s="90" t="s">
        <v>224</v>
      </c>
      <c r="O69" s="90" t="s">
        <v>224</v>
      </c>
      <c r="P69" s="90" t="s">
        <v>224</v>
      </c>
      <c r="Q69" s="90" t="s">
        <v>224</v>
      </c>
      <c r="R69" s="90" t="s">
        <v>224</v>
      </c>
      <c r="S69" s="90" t="s">
        <v>224</v>
      </c>
      <c r="T69" s="90" t="s">
        <v>224</v>
      </c>
      <c r="U69" s="90" t="s">
        <v>224</v>
      </c>
      <c r="V69" s="90" t="s">
        <v>224</v>
      </c>
      <c r="W69" s="128">
        <v>309202</v>
      </c>
    </row>
    <row r="70" spans="2:23" x14ac:dyDescent="0.15">
      <c r="B70" s="21"/>
      <c r="C70" s="90" t="s">
        <v>43</v>
      </c>
      <c r="D70" s="90" t="s">
        <v>45</v>
      </c>
      <c r="E70" s="90" t="s">
        <v>46</v>
      </c>
      <c r="F70" s="90" t="s">
        <v>44</v>
      </c>
      <c r="G70" s="90" t="s">
        <v>48</v>
      </c>
      <c r="H70" s="90" t="s">
        <v>49</v>
      </c>
      <c r="I70" s="90" t="s">
        <v>47</v>
      </c>
      <c r="J70" s="90" t="s">
        <v>50</v>
      </c>
      <c r="K70" s="90" t="s">
        <v>224</v>
      </c>
      <c r="L70" s="90" t="s">
        <v>224</v>
      </c>
      <c r="M70" s="90" t="s">
        <v>224</v>
      </c>
      <c r="N70" s="90" t="s">
        <v>224</v>
      </c>
      <c r="O70" s="90" t="s">
        <v>224</v>
      </c>
      <c r="P70" s="90" t="s">
        <v>224</v>
      </c>
      <c r="Q70" s="90" t="s">
        <v>224</v>
      </c>
      <c r="R70" s="90" t="s">
        <v>224</v>
      </c>
      <c r="S70" s="90" t="s">
        <v>224</v>
      </c>
      <c r="T70" s="90" t="s">
        <v>224</v>
      </c>
      <c r="U70" s="90" t="s">
        <v>224</v>
      </c>
      <c r="V70" s="90" t="s">
        <v>224</v>
      </c>
      <c r="W70" s="128">
        <v>309202</v>
      </c>
    </row>
    <row r="71" spans="2:23" x14ac:dyDescent="0.15">
      <c r="B71" s="21"/>
      <c r="C71" s="90" t="s">
        <v>43</v>
      </c>
      <c r="D71" s="90" t="s">
        <v>45</v>
      </c>
      <c r="E71" s="90" t="s">
        <v>46</v>
      </c>
      <c r="F71" s="90" t="s">
        <v>44</v>
      </c>
      <c r="G71" s="90" t="s">
        <v>48</v>
      </c>
      <c r="H71" s="90" t="s">
        <v>49</v>
      </c>
      <c r="I71" s="90" t="s">
        <v>47</v>
      </c>
      <c r="J71" s="90" t="s">
        <v>50</v>
      </c>
      <c r="K71" s="90" t="s">
        <v>224</v>
      </c>
      <c r="L71" s="90" t="s">
        <v>224</v>
      </c>
      <c r="M71" s="90" t="s">
        <v>224</v>
      </c>
      <c r="N71" s="90" t="s">
        <v>224</v>
      </c>
      <c r="O71" s="90" t="s">
        <v>224</v>
      </c>
      <c r="P71" s="90" t="s">
        <v>224</v>
      </c>
      <c r="Q71" s="90" t="s">
        <v>224</v>
      </c>
      <c r="R71" s="90" t="s">
        <v>224</v>
      </c>
      <c r="S71" s="90" t="s">
        <v>224</v>
      </c>
      <c r="T71" s="90" t="s">
        <v>224</v>
      </c>
      <c r="U71" s="90" t="s">
        <v>224</v>
      </c>
      <c r="V71" s="90" t="s">
        <v>224</v>
      </c>
      <c r="W71" s="128">
        <v>309202</v>
      </c>
    </row>
    <row r="72" spans="2:23" x14ac:dyDescent="0.15">
      <c r="B72" s="21"/>
      <c r="C72" s="90" t="s">
        <v>43</v>
      </c>
      <c r="D72" s="90" t="s">
        <v>45</v>
      </c>
      <c r="E72" s="90" t="s">
        <v>46</v>
      </c>
      <c r="F72" s="90" t="s">
        <v>44</v>
      </c>
      <c r="G72" s="90" t="s">
        <v>48</v>
      </c>
      <c r="H72" s="90" t="s">
        <v>49</v>
      </c>
      <c r="I72" s="90" t="s">
        <v>47</v>
      </c>
      <c r="J72" s="90" t="s">
        <v>50</v>
      </c>
      <c r="K72" s="90" t="s">
        <v>224</v>
      </c>
      <c r="L72" s="90" t="s">
        <v>224</v>
      </c>
      <c r="M72" s="90" t="s">
        <v>224</v>
      </c>
      <c r="N72" s="90" t="s">
        <v>224</v>
      </c>
      <c r="O72" s="90" t="s">
        <v>224</v>
      </c>
      <c r="P72" s="90" t="s">
        <v>224</v>
      </c>
      <c r="Q72" s="90" t="s">
        <v>224</v>
      </c>
      <c r="R72" s="90" t="s">
        <v>224</v>
      </c>
      <c r="S72" s="90" t="s">
        <v>224</v>
      </c>
      <c r="T72" s="90" t="s">
        <v>224</v>
      </c>
      <c r="U72" s="90" t="s">
        <v>224</v>
      </c>
      <c r="V72" s="90" t="s">
        <v>224</v>
      </c>
      <c r="W72" s="128">
        <v>309202</v>
      </c>
    </row>
    <row r="73" spans="2:23" x14ac:dyDescent="0.15">
      <c r="B73" s="21"/>
      <c r="C73" s="90" t="s">
        <v>43</v>
      </c>
      <c r="D73" s="90" t="s">
        <v>45</v>
      </c>
      <c r="E73" s="90" t="s">
        <v>46</v>
      </c>
      <c r="F73" s="90" t="s">
        <v>44</v>
      </c>
      <c r="G73" s="90" t="s">
        <v>48</v>
      </c>
      <c r="H73" s="90" t="s">
        <v>49</v>
      </c>
      <c r="I73" s="90" t="s">
        <v>47</v>
      </c>
      <c r="J73" s="90" t="s">
        <v>50</v>
      </c>
      <c r="K73" s="90" t="s">
        <v>224</v>
      </c>
      <c r="L73" s="90" t="s">
        <v>224</v>
      </c>
      <c r="M73" s="90" t="s">
        <v>224</v>
      </c>
      <c r="N73" s="90" t="s">
        <v>224</v>
      </c>
      <c r="O73" s="90" t="s">
        <v>224</v>
      </c>
      <c r="P73" s="90" t="s">
        <v>224</v>
      </c>
      <c r="Q73" s="90" t="s">
        <v>224</v>
      </c>
      <c r="R73" s="90" t="s">
        <v>224</v>
      </c>
      <c r="S73" s="90" t="s">
        <v>224</v>
      </c>
      <c r="T73" s="90" t="s">
        <v>224</v>
      </c>
      <c r="U73" s="90" t="s">
        <v>224</v>
      </c>
      <c r="V73" s="90" t="s">
        <v>224</v>
      </c>
      <c r="W73" s="128">
        <v>309202</v>
      </c>
    </row>
    <row r="74" spans="2:23" x14ac:dyDescent="0.15">
      <c r="B74" s="21"/>
      <c r="C74" s="90" t="s">
        <v>43</v>
      </c>
      <c r="D74" s="90" t="s">
        <v>45</v>
      </c>
      <c r="E74" s="90" t="s">
        <v>46</v>
      </c>
      <c r="F74" s="90" t="s">
        <v>44</v>
      </c>
      <c r="G74" s="90" t="s">
        <v>48</v>
      </c>
      <c r="H74" s="90" t="s">
        <v>49</v>
      </c>
      <c r="I74" s="90" t="s">
        <v>47</v>
      </c>
      <c r="J74" s="90" t="s">
        <v>50</v>
      </c>
      <c r="K74" s="90" t="s">
        <v>224</v>
      </c>
      <c r="L74" s="90" t="s">
        <v>224</v>
      </c>
      <c r="M74" s="90" t="s">
        <v>224</v>
      </c>
      <c r="N74" s="90" t="s">
        <v>224</v>
      </c>
      <c r="O74" s="90" t="s">
        <v>224</v>
      </c>
      <c r="P74" s="90" t="s">
        <v>224</v>
      </c>
      <c r="Q74" s="90" t="s">
        <v>224</v>
      </c>
      <c r="R74" s="90" t="s">
        <v>224</v>
      </c>
      <c r="S74" s="90" t="s">
        <v>224</v>
      </c>
      <c r="T74" s="90" t="s">
        <v>224</v>
      </c>
      <c r="U74" s="90" t="s">
        <v>224</v>
      </c>
      <c r="V74" s="90" t="s">
        <v>224</v>
      </c>
      <c r="W74" s="128">
        <v>309202</v>
      </c>
    </row>
    <row r="75" spans="2:23" x14ac:dyDescent="0.15">
      <c r="B75" s="21"/>
      <c r="C75" s="90" t="s">
        <v>43</v>
      </c>
      <c r="D75" s="90" t="s">
        <v>45</v>
      </c>
      <c r="E75" s="90" t="s">
        <v>46</v>
      </c>
      <c r="F75" s="90" t="s">
        <v>44</v>
      </c>
      <c r="G75" s="90" t="s">
        <v>48</v>
      </c>
      <c r="H75" s="90" t="s">
        <v>49</v>
      </c>
      <c r="I75" s="90" t="s">
        <v>47</v>
      </c>
      <c r="J75" s="90" t="s">
        <v>50</v>
      </c>
      <c r="K75" s="90" t="s">
        <v>224</v>
      </c>
      <c r="L75" s="90" t="s">
        <v>224</v>
      </c>
      <c r="M75" s="90" t="s">
        <v>224</v>
      </c>
      <c r="N75" s="90" t="s">
        <v>224</v>
      </c>
      <c r="O75" s="90" t="s">
        <v>224</v>
      </c>
      <c r="P75" s="90" t="s">
        <v>224</v>
      </c>
      <c r="Q75" s="90" t="s">
        <v>224</v>
      </c>
      <c r="R75" s="90" t="s">
        <v>224</v>
      </c>
      <c r="S75" s="90" t="s">
        <v>224</v>
      </c>
      <c r="T75" s="90" t="s">
        <v>224</v>
      </c>
      <c r="U75" s="90" t="s">
        <v>224</v>
      </c>
      <c r="V75" s="90" t="s">
        <v>224</v>
      </c>
      <c r="W75" s="128">
        <v>309202</v>
      </c>
    </row>
    <row r="76" spans="2:23" x14ac:dyDescent="0.15">
      <c r="B76" s="21"/>
      <c r="C76" s="90" t="s">
        <v>43</v>
      </c>
      <c r="D76" s="90" t="s">
        <v>45</v>
      </c>
      <c r="E76" s="90" t="s">
        <v>46</v>
      </c>
      <c r="F76" s="90" t="s">
        <v>44</v>
      </c>
      <c r="G76" s="90" t="s">
        <v>48</v>
      </c>
      <c r="H76" s="90" t="s">
        <v>49</v>
      </c>
      <c r="I76" s="90" t="s">
        <v>47</v>
      </c>
      <c r="J76" s="90" t="s">
        <v>50</v>
      </c>
      <c r="K76" s="90" t="s">
        <v>224</v>
      </c>
      <c r="L76" s="90" t="s">
        <v>224</v>
      </c>
      <c r="M76" s="90" t="s">
        <v>224</v>
      </c>
      <c r="N76" s="90" t="s">
        <v>224</v>
      </c>
      <c r="O76" s="90" t="s">
        <v>224</v>
      </c>
      <c r="P76" s="90" t="s">
        <v>224</v>
      </c>
      <c r="Q76" s="90" t="s">
        <v>224</v>
      </c>
      <c r="R76" s="90" t="s">
        <v>224</v>
      </c>
      <c r="S76" s="90" t="s">
        <v>224</v>
      </c>
      <c r="T76" s="90" t="s">
        <v>224</v>
      </c>
      <c r="U76" s="90" t="s">
        <v>224</v>
      </c>
      <c r="V76" s="90" t="s">
        <v>224</v>
      </c>
      <c r="W76" s="128">
        <v>309202</v>
      </c>
    </row>
    <row r="77" spans="2:23" x14ac:dyDescent="0.15">
      <c r="B77" s="21"/>
      <c r="C77" s="90" t="s">
        <v>43</v>
      </c>
      <c r="D77" s="90" t="s">
        <v>45</v>
      </c>
      <c r="E77" s="90" t="s">
        <v>46</v>
      </c>
      <c r="F77" s="90" t="s">
        <v>44</v>
      </c>
      <c r="G77" s="90" t="s">
        <v>48</v>
      </c>
      <c r="H77" s="90" t="s">
        <v>49</v>
      </c>
      <c r="I77" s="90" t="s">
        <v>47</v>
      </c>
      <c r="J77" s="90" t="s">
        <v>50</v>
      </c>
      <c r="K77" s="90" t="s">
        <v>224</v>
      </c>
      <c r="L77" s="90" t="s">
        <v>224</v>
      </c>
      <c r="M77" s="90" t="s">
        <v>224</v>
      </c>
      <c r="N77" s="90" t="s">
        <v>224</v>
      </c>
      <c r="O77" s="90" t="s">
        <v>224</v>
      </c>
      <c r="P77" s="90" t="s">
        <v>224</v>
      </c>
      <c r="Q77" s="90" t="s">
        <v>224</v>
      </c>
      <c r="R77" s="90" t="s">
        <v>224</v>
      </c>
      <c r="S77" s="90" t="s">
        <v>224</v>
      </c>
      <c r="T77" s="90" t="s">
        <v>224</v>
      </c>
      <c r="U77" s="90" t="s">
        <v>224</v>
      </c>
      <c r="V77" s="90" t="s">
        <v>224</v>
      </c>
      <c r="W77" s="128">
        <v>309202</v>
      </c>
    </row>
    <row r="78" spans="2:23" x14ac:dyDescent="0.15">
      <c r="B78" s="21"/>
      <c r="C78" s="90" t="s">
        <v>43</v>
      </c>
      <c r="D78" s="90" t="s">
        <v>45</v>
      </c>
      <c r="E78" s="90" t="s">
        <v>46</v>
      </c>
      <c r="F78" s="90" t="s">
        <v>44</v>
      </c>
      <c r="G78" s="90" t="s">
        <v>48</v>
      </c>
      <c r="H78" s="90" t="s">
        <v>49</v>
      </c>
      <c r="I78" s="90" t="s">
        <v>47</v>
      </c>
      <c r="J78" s="90" t="s">
        <v>50</v>
      </c>
      <c r="K78" s="90" t="s">
        <v>224</v>
      </c>
      <c r="L78" s="90" t="s">
        <v>224</v>
      </c>
      <c r="M78" s="90" t="s">
        <v>224</v>
      </c>
      <c r="N78" s="90" t="s">
        <v>224</v>
      </c>
      <c r="O78" s="90" t="s">
        <v>224</v>
      </c>
      <c r="P78" s="90" t="s">
        <v>224</v>
      </c>
      <c r="Q78" s="90" t="s">
        <v>224</v>
      </c>
      <c r="R78" s="90" t="s">
        <v>224</v>
      </c>
      <c r="S78" s="90" t="s">
        <v>224</v>
      </c>
      <c r="T78" s="90" t="s">
        <v>224</v>
      </c>
      <c r="U78" s="90" t="s">
        <v>224</v>
      </c>
      <c r="V78" s="90" t="s">
        <v>224</v>
      </c>
      <c r="W78" s="128">
        <v>309202</v>
      </c>
    </row>
    <row r="79" spans="2:23" x14ac:dyDescent="0.15">
      <c r="B79" s="21"/>
      <c r="C79" s="90" t="s">
        <v>43</v>
      </c>
      <c r="D79" s="90" t="s">
        <v>45</v>
      </c>
      <c r="E79" s="90" t="s">
        <v>46</v>
      </c>
      <c r="F79" s="90" t="s">
        <v>44</v>
      </c>
      <c r="G79" s="90" t="s">
        <v>48</v>
      </c>
      <c r="H79" s="90" t="s">
        <v>49</v>
      </c>
      <c r="I79" s="90" t="s">
        <v>47</v>
      </c>
      <c r="J79" s="90" t="s">
        <v>50</v>
      </c>
      <c r="K79" s="90" t="s">
        <v>224</v>
      </c>
      <c r="L79" s="90" t="s">
        <v>224</v>
      </c>
      <c r="M79" s="90" t="s">
        <v>224</v>
      </c>
      <c r="N79" s="90" t="s">
        <v>224</v>
      </c>
      <c r="O79" s="90" t="s">
        <v>224</v>
      </c>
      <c r="P79" s="90" t="s">
        <v>224</v>
      </c>
      <c r="Q79" s="90" t="s">
        <v>224</v>
      </c>
      <c r="R79" s="90" t="s">
        <v>224</v>
      </c>
      <c r="S79" s="90" t="s">
        <v>224</v>
      </c>
      <c r="T79" s="90" t="s">
        <v>224</v>
      </c>
      <c r="U79" s="90" t="s">
        <v>224</v>
      </c>
      <c r="V79" s="90" t="s">
        <v>224</v>
      </c>
      <c r="W79" s="128">
        <v>309202</v>
      </c>
    </row>
    <row r="80" spans="2:23" x14ac:dyDescent="0.15">
      <c r="B80" s="21"/>
      <c r="C80" s="90" t="s">
        <v>43</v>
      </c>
      <c r="D80" s="90" t="s">
        <v>45</v>
      </c>
      <c r="E80" s="90" t="s">
        <v>46</v>
      </c>
      <c r="F80" s="90" t="s">
        <v>44</v>
      </c>
      <c r="G80" s="90" t="s">
        <v>48</v>
      </c>
      <c r="H80" s="90" t="s">
        <v>49</v>
      </c>
      <c r="I80" s="90" t="s">
        <v>47</v>
      </c>
      <c r="J80" s="90" t="s">
        <v>50</v>
      </c>
      <c r="K80" s="90" t="s">
        <v>224</v>
      </c>
      <c r="L80" s="90" t="s">
        <v>224</v>
      </c>
      <c r="M80" s="90" t="s">
        <v>224</v>
      </c>
      <c r="N80" s="90" t="s">
        <v>224</v>
      </c>
      <c r="O80" s="90" t="s">
        <v>224</v>
      </c>
      <c r="P80" s="90" t="s">
        <v>224</v>
      </c>
      <c r="Q80" s="90" t="s">
        <v>224</v>
      </c>
      <c r="R80" s="90" t="s">
        <v>224</v>
      </c>
      <c r="S80" s="90" t="s">
        <v>224</v>
      </c>
      <c r="T80" s="90" t="s">
        <v>224</v>
      </c>
      <c r="U80" s="90" t="s">
        <v>224</v>
      </c>
      <c r="V80" s="90" t="s">
        <v>224</v>
      </c>
      <c r="W80" s="128">
        <v>309202</v>
      </c>
    </row>
    <row r="81" spans="2:23" x14ac:dyDescent="0.15">
      <c r="B81" s="21"/>
      <c r="C81" s="90" t="s">
        <v>43</v>
      </c>
      <c r="D81" s="90" t="s">
        <v>45</v>
      </c>
      <c r="E81" s="90" t="s">
        <v>46</v>
      </c>
      <c r="F81" s="90" t="s">
        <v>44</v>
      </c>
      <c r="G81" s="90" t="s">
        <v>48</v>
      </c>
      <c r="H81" s="90" t="s">
        <v>49</v>
      </c>
      <c r="I81" s="90" t="s">
        <v>47</v>
      </c>
      <c r="J81" s="90" t="s">
        <v>50</v>
      </c>
      <c r="K81" s="90" t="s">
        <v>224</v>
      </c>
      <c r="L81" s="90" t="s">
        <v>224</v>
      </c>
      <c r="M81" s="90" t="s">
        <v>224</v>
      </c>
      <c r="N81" s="90" t="s">
        <v>224</v>
      </c>
      <c r="O81" s="90" t="s">
        <v>224</v>
      </c>
      <c r="P81" s="90" t="s">
        <v>224</v>
      </c>
      <c r="Q81" s="90" t="s">
        <v>224</v>
      </c>
      <c r="R81" s="90" t="s">
        <v>224</v>
      </c>
      <c r="S81" s="90" t="s">
        <v>224</v>
      </c>
      <c r="T81" s="90" t="s">
        <v>224</v>
      </c>
      <c r="U81" s="90" t="s">
        <v>224</v>
      </c>
      <c r="V81" s="90" t="s">
        <v>224</v>
      </c>
      <c r="W81" s="128">
        <v>309202</v>
      </c>
    </row>
    <row r="82" spans="2:23" x14ac:dyDescent="0.15">
      <c r="B82" s="21"/>
      <c r="C82" s="90" t="s">
        <v>43</v>
      </c>
      <c r="D82" s="90" t="s">
        <v>45</v>
      </c>
      <c r="E82" s="90" t="s">
        <v>46</v>
      </c>
      <c r="F82" s="90" t="s">
        <v>44</v>
      </c>
      <c r="G82" s="90" t="s">
        <v>48</v>
      </c>
      <c r="H82" s="90" t="s">
        <v>49</v>
      </c>
      <c r="I82" s="90" t="s">
        <v>47</v>
      </c>
      <c r="J82" s="90" t="s">
        <v>50</v>
      </c>
      <c r="K82" s="90" t="s">
        <v>224</v>
      </c>
      <c r="L82" s="90" t="s">
        <v>224</v>
      </c>
      <c r="M82" s="90" t="s">
        <v>224</v>
      </c>
      <c r="N82" s="90" t="s">
        <v>224</v>
      </c>
      <c r="O82" s="90" t="s">
        <v>224</v>
      </c>
      <c r="P82" s="90" t="s">
        <v>224</v>
      </c>
      <c r="Q82" s="90" t="s">
        <v>224</v>
      </c>
      <c r="R82" s="90" t="s">
        <v>224</v>
      </c>
      <c r="S82" s="90" t="s">
        <v>224</v>
      </c>
      <c r="T82" s="90" t="s">
        <v>224</v>
      </c>
      <c r="U82" s="90" t="s">
        <v>224</v>
      </c>
      <c r="V82" s="90" t="s">
        <v>224</v>
      </c>
      <c r="W82" s="128">
        <v>309202</v>
      </c>
    </row>
    <row r="83" spans="2:23" x14ac:dyDescent="0.15">
      <c r="B83" s="21"/>
      <c r="C83" s="90" t="s">
        <v>43</v>
      </c>
      <c r="D83" s="90" t="s">
        <v>45</v>
      </c>
      <c r="E83" s="90" t="s">
        <v>46</v>
      </c>
      <c r="F83" s="90" t="s">
        <v>44</v>
      </c>
      <c r="G83" s="90" t="s">
        <v>48</v>
      </c>
      <c r="H83" s="90" t="s">
        <v>49</v>
      </c>
      <c r="I83" s="90" t="s">
        <v>47</v>
      </c>
      <c r="J83" s="90" t="s">
        <v>50</v>
      </c>
      <c r="K83" s="90" t="s">
        <v>224</v>
      </c>
      <c r="L83" s="90" t="s">
        <v>224</v>
      </c>
      <c r="M83" s="90" t="s">
        <v>224</v>
      </c>
      <c r="N83" s="90" t="s">
        <v>224</v>
      </c>
      <c r="O83" s="90" t="s">
        <v>224</v>
      </c>
      <c r="P83" s="90" t="s">
        <v>224</v>
      </c>
      <c r="Q83" s="90" t="s">
        <v>224</v>
      </c>
      <c r="R83" s="90" t="s">
        <v>224</v>
      </c>
      <c r="S83" s="90" t="s">
        <v>224</v>
      </c>
      <c r="T83" s="90" t="s">
        <v>224</v>
      </c>
      <c r="U83" s="90" t="s">
        <v>224</v>
      </c>
      <c r="V83" s="90" t="s">
        <v>224</v>
      </c>
      <c r="W83" s="128">
        <v>309202</v>
      </c>
    </row>
    <row r="84" spans="2:23" x14ac:dyDescent="0.15">
      <c r="B84" s="21"/>
      <c r="C84" s="90" t="s">
        <v>43</v>
      </c>
      <c r="D84" s="90" t="s">
        <v>45</v>
      </c>
      <c r="E84" s="90" t="s">
        <v>46</v>
      </c>
      <c r="F84" s="90" t="s">
        <v>44</v>
      </c>
      <c r="G84" s="90" t="s">
        <v>48</v>
      </c>
      <c r="H84" s="90" t="s">
        <v>49</v>
      </c>
      <c r="I84" s="90" t="s">
        <v>47</v>
      </c>
      <c r="J84" s="90" t="s">
        <v>50</v>
      </c>
      <c r="K84" s="90" t="s">
        <v>224</v>
      </c>
      <c r="L84" s="90" t="s">
        <v>224</v>
      </c>
      <c r="M84" s="90" t="s">
        <v>224</v>
      </c>
      <c r="N84" s="90" t="s">
        <v>224</v>
      </c>
      <c r="O84" s="90" t="s">
        <v>224</v>
      </c>
      <c r="P84" s="90" t="s">
        <v>224</v>
      </c>
      <c r="Q84" s="90" t="s">
        <v>224</v>
      </c>
      <c r="R84" s="90" t="s">
        <v>224</v>
      </c>
      <c r="S84" s="90" t="s">
        <v>224</v>
      </c>
      <c r="T84" s="90" t="s">
        <v>224</v>
      </c>
      <c r="U84" s="90" t="s">
        <v>224</v>
      </c>
      <c r="V84" s="90" t="s">
        <v>224</v>
      </c>
      <c r="W84" s="128">
        <v>309202</v>
      </c>
    </row>
    <row r="85" spans="2:23" x14ac:dyDescent="0.15">
      <c r="B85" s="21"/>
      <c r="C85" s="90" t="s">
        <v>43</v>
      </c>
      <c r="D85" s="90" t="s">
        <v>45</v>
      </c>
      <c r="E85" s="90" t="s">
        <v>46</v>
      </c>
      <c r="F85" s="90" t="s">
        <v>44</v>
      </c>
      <c r="G85" s="90" t="s">
        <v>48</v>
      </c>
      <c r="H85" s="90" t="s">
        <v>49</v>
      </c>
      <c r="I85" s="90" t="s">
        <v>47</v>
      </c>
      <c r="J85" s="90" t="s">
        <v>50</v>
      </c>
      <c r="K85" s="90" t="s">
        <v>224</v>
      </c>
      <c r="L85" s="90" t="s">
        <v>224</v>
      </c>
      <c r="M85" s="90" t="s">
        <v>224</v>
      </c>
      <c r="N85" s="90" t="s">
        <v>224</v>
      </c>
      <c r="O85" s="90" t="s">
        <v>224</v>
      </c>
      <c r="P85" s="90" t="s">
        <v>224</v>
      </c>
      <c r="Q85" s="90" t="s">
        <v>224</v>
      </c>
      <c r="R85" s="90" t="s">
        <v>224</v>
      </c>
      <c r="S85" s="90" t="s">
        <v>224</v>
      </c>
      <c r="T85" s="90" t="s">
        <v>224</v>
      </c>
      <c r="U85" s="90" t="s">
        <v>224</v>
      </c>
      <c r="V85" s="90" t="s">
        <v>224</v>
      </c>
      <c r="W85" s="128">
        <v>309202</v>
      </c>
    </row>
    <row r="86" spans="2:23" x14ac:dyDescent="0.15">
      <c r="B86" s="21"/>
      <c r="C86" s="90" t="s">
        <v>43</v>
      </c>
      <c r="D86" s="90" t="s">
        <v>45</v>
      </c>
      <c r="E86" s="90" t="s">
        <v>46</v>
      </c>
      <c r="F86" s="90" t="s">
        <v>44</v>
      </c>
      <c r="G86" s="90" t="s">
        <v>48</v>
      </c>
      <c r="H86" s="90" t="s">
        <v>49</v>
      </c>
      <c r="I86" s="90" t="s">
        <v>47</v>
      </c>
      <c r="J86" s="90" t="s">
        <v>50</v>
      </c>
      <c r="K86" s="90" t="s">
        <v>224</v>
      </c>
      <c r="L86" s="90" t="s">
        <v>224</v>
      </c>
      <c r="M86" s="90" t="s">
        <v>224</v>
      </c>
      <c r="N86" s="90" t="s">
        <v>224</v>
      </c>
      <c r="O86" s="90" t="s">
        <v>224</v>
      </c>
      <c r="P86" s="90" t="s">
        <v>224</v>
      </c>
      <c r="Q86" s="90" t="s">
        <v>224</v>
      </c>
      <c r="R86" s="90" t="s">
        <v>224</v>
      </c>
      <c r="S86" s="90" t="s">
        <v>224</v>
      </c>
      <c r="T86" s="90" t="s">
        <v>224</v>
      </c>
      <c r="U86" s="90" t="s">
        <v>224</v>
      </c>
      <c r="V86" s="90" t="s">
        <v>224</v>
      </c>
      <c r="W86" s="128">
        <v>309202</v>
      </c>
    </row>
    <row r="87" spans="2:23" x14ac:dyDescent="0.15">
      <c r="B87" s="21"/>
      <c r="C87" s="90" t="s">
        <v>43</v>
      </c>
      <c r="D87" s="90" t="s">
        <v>45</v>
      </c>
      <c r="E87" s="90" t="s">
        <v>46</v>
      </c>
      <c r="F87" s="90" t="s">
        <v>44</v>
      </c>
      <c r="G87" s="90" t="s">
        <v>48</v>
      </c>
      <c r="H87" s="90" t="s">
        <v>49</v>
      </c>
      <c r="I87" s="90" t="s">
        <v>47</v>
      </c>
      <c r="J87" s="90" t="s">
        <v>50</v>
      </c>
      <c r="K87" s="90" t="s">
        <v>224</v>
      </c>
      <c r="L87" s="90" t="s">
        <v>224</v>
      </c>
      <c r="M87" s="90" t="s">
        <v>224</v>
      </c>
      <c r="N87" s="90" t="s">
        <v>224</v>
      </c>
      <c r="O87" s="90" t="s">
        <v>224</v>
      </c>
      <c r="P87" s="90" t="s">
        <v>224</v>
      </c>
      <c r="Q87" s="90" t="s">
        <v>224</v>
      </c>
      <c r="R87" s="90" t="s">
        <v>224</v>
      </c>
      <c r="S87" s="90" t="s">
        <v>224</v>
      </c>
      <c r="T87" s="90" t="s">
        <v>224</v>
      </c>
      <c r="U87" s="90" t="s">
        <v>224</v>
      </c>
      <c r="V87" s="90" t="s">
        <v>224</v>
      </c>
      <c r="W87" s="128">
        <v>309202</v>
      </c>
    </row>
    <row r="88" spans="2:23" x14ac:dyDescent="0.15">
      <c r="B88" s="21"/>
      <c r="C88" s="90" t="s">
        <v>43</v>
      </c>
      <c r="D88" s="90" t="s">
        <v>45</v>
      </c>
      <c r="E88" s="90" t="s">
        <v>46</v>
      </c>
      <c r="F88" s="90" t="s">
        <v>44</v>
      </c>
      <c r="G88" s="90" t="s">
        <v>48</v>
      </c>
      <c r="H88" s="90" t="s">
        <v>49</v>
      </c>
      <c r="I88" s="90" t="s">
        <v>47</v>
      </c>
      <c r="J88" s="90" t="s">
        <v>50</v>
      </c>
      <c r="K88" s="90" t="s">
        <v>224</v>
      </c>
      <c r="L88" s="90" t="s">
        <v>224</v>
      </c>
      <c r="M88" s="90" t="s">
        <v>224</v>
      </c>
      <c r="N88" s="90" t="s">
        <v>224</v>
      </c>
      <c r="O88" s="90" t="s">
        <v>224</v>
      </c>
      <c r="P88" s="90" t="s">
        <v>224</v>
      </c>
      <c r="Q88" s="90" t="s">
        <v>224</v>
      </c>
      <c r="R88" s="90" t="s">
        <v>224</v>
      </c>
      <c r="S88" s="90" t="s">
        <v>224</v>
      </c>
      <c r="T88" s="90" t="s">
        <v>224</v>
      </c>
      <c r="U88" s="90" t="s">
        <v>224</v>
      </c>
      <c r="V88" s="90" t="s">
        <v>224</v>
      </c>
      <c r="W88" s="128">
        <v>309202</v>
      </c>
    </row>
    <row r="89" spans="2:23" x14ac:dyDescent="0.15">
      <c r="B89" s="21"/>
      <c r="C89" s="90" t="s">
        <v>43</v>
      </c>
      <c r="D89" s="90" t="s">
        <v>45</v>
      </c>
      <c r="E89" s="90" t="s">
        <v>46</v>
      </c>
      <c r="F89" s="90" t="s">
        <v>44</v>
      </c>
      <c r="G89" s="90" t="s">
        <v>48</v>
      </c>
      <c r="H89" s="90" t="s">
        <v>49</v>
      </c>
      <c r="I89" s="90" t="s">
        <v>47</v>
      </c>
      <c r="J89" s="90" t="s">
        <v>50</v>
      </c>
      <c r="K89" s="90" t="s">
        <v>224</v>
      </c>
      <c r="L89" s="90" t="s">
        <v>224</v>
      </c>
      <c r="M89" s="90" t="s">
        <v>224</v>
      </c>
      <c r="N89" s="90" t="s">
        <v>224</v>
      </c>
      <c r="O89" s="90" t="s">
        <v>224</v>
      </c>
      <c r="P89" s="90" t="s">
        <v>224</v>
      </c>
      <c r="Q89" s="90" t="s">
        <v>224</v>
      </c>
      <c r="R89" s="90" t="s">
        <v>224</v>
      </c>
      <c r="S89" s="90" t="s">
        <v>224</v>
      </c>
      <c r="T89" s="90" t="s">
        <v>224</v>
      </c>
      <c r="U89" s="90" t="s">
        <v>224</v>
      </c>
      <c r="V89" s="90" t="s">
        <v>224</v>
      </c>
      <c r="W89" s="128">
        <v>309202</v>
      </c>
    </row>
    <row r="90" spans="2:23" x14ac:dyDescent="0.15">
      <c r="B90" s="21"/>
      <c r="C90" s="90" t="s">
        <v>43</v>
      </c>
      <c r="D90" s="90" t="s">
        <v>45</v>
      </c>
      <c r="E90" s="90" t="s">
        <v>46</v>
      </c>
      <c r="F90" s="90" t="s">
        <v>44</v>
      </c>
      <c r="G90" s="90" t="s">
        <v>48</v>
      </c>
      <c r="H90" s="90" t="s">
        <v>49</v>
      </c>
      <c r="I90" s="90" t="s">
        <v>47</v>
      </c>
      <c r="J90" s="90" t="s">
        <v>50</v>
      </c>
      <c r="K90" s="90" t="s">
        <v>224</v>
      </c>
      <c r="L90" s="90" t="s">
        <v>224</v>
      </c>
      <c r="M90" s="90" t="s">
        <v>224</v>
      </c>
      <c r="N90" s="90" t="s">
        <v>224</v>
      </c>
      <c r="O90" s="90" t="s">
        <v>224</v>
      </c>
      <c r="P90" s="90" t="s">
        <v>224</v>
      </c>
      <c r="Q90" s="90" t="s">
        <v>224</v>
      </c>
      <c r="R90" s="90" t="s">
        <v>224</v>
      </c>
      <c r="S90" s="90" t="s">
        <v>224</v>
      </c>
      <c r="T90" s="90" t="s">
        <v>224</v>
      </c>
      <c r="U90" s="90" t="s">
        <v>224</v>
      </c>
      <c r="V90" s="90" t="s">
        <v>224</v>
      </c>
      <c r="W90" s="128">
        <v>309202</v>
      </c>
    </row>
    <row r="91" spans="2:23" x14ac:dyDescent="0.15">
      <c r="B91" s="21"/>
      <c r="C91" s="90" t="s">
        <v>43</v>
      </c>
      <c r="D91" s="90" t="s">
        <v>45</v>
      </c>
      <c r="E91" s="90" t="s">
        <v>46</v>
      </c>
      <c r="F91" s="90" t="s">
        <v>44</v>
      </c>
      <c r="G91" s="90" t="s">
        <v>48</v>
      </c>
      <c r="H91" s="90" t="s">
        <v>49</v>
      </c>
      <c r="I91" s="90" t="s">
        <v>47</v>
      </c>
      <c r="J91" s="90" t="s">
        <v>50</v>
      </c>
      <c r="K91" s="90" t="s">
        <v>224</v>
      </c>
      <c r="L91" s="90" t="s">
        <v>224</v>
      </c>
      <c r="M91" s="90" t="s">
        <v>224</v>
      </c>
      <c r="N91" s="90" t="s">
        <v>224</v>
      </c>
      <c r="O91" s="90" t="s">
        <v>224</v>
      </c>
      <c r="P91" s="90" t="s">
        <v>224</v>
      </c>
      <c r="Q91" s="90" t="s">
        <v>224</v>
      </c>
      <c r="R91" s="90" t="s">
        <v>224</v>
      </c>
      <c r="S91" s="90" t="s">
        <v>224</v>
      </c>
      <c r="T91" s="90" t="s">
        <v>224</v>
      </c>
      <c r="U91" s="90" t="s">
        <v>224</v>
      </c>
      <c r="V91" s="90" t="s">
        <v>224</v>
      </c>
      <c r="W91" s="128">
        <v>309202</v>
      </c>
    </row>
    <row r="92" spans="2:23" x14ac:dyDescent="0.15">
      <c r="B92" s="21"/>
      <c r="C92" s="90" t="s">
        <v>43</v>
      </c>
      <c r="D92" s="90" t="s">
        <v>45</v>
      </c>
      <c r="E92" s="90" t="s">
        <v>46</v>
      </c>
      <c r="F92" s="90" t="s">
        <v>44</v>
      </c>
      <c r="G92" s="90" t="s">
        <v>48</v>
      </c>
      <c r="H92" s="90" t="s">
        <v>49</v>
      </c>
      <c r="I92" s="90" t="s">
        <v>47</v>
      </c>
      <c r="J92" s="90" t="s">
        <v>50</v>
      </c>
      <c r="K92" s="90" t="s">
        <v>224</v>
      </c>
      <c r="L92" s="90" t="s">
        <v>224</v>
      </c>
      <c r="M92" s="90" t="s">
        <v>224</v>
      </c>
      <c r="N92" s="90" t="s">
        <v>224</v>
      </c>
      <c r="O92" s="90" t="s">
        <v>224</v>
      </c>
      <c r="P92" s="90" t="s">
        <v>224</v>
      </c>
      <c r="Q92" s="90" t="s">
        <v>224</v>
      </c>
      <c r="R92" s="90" t="s">
        <v>224</v>
      </c>
      <c r="S92" s="90" t="s">
        <v>224</v>
      </c>
      <c r="T92" s="90" t="s">
        <v>224</v>
      </c>
      <c r="U92" s="90" t="s">
        <v>224</v>
      </c>
      <c r="V92" s="90" t="s">
        <v>224</v>
      </c>
      <c r="W92" s="128">
        <v>309202</v>
      </c>
    </row>
    <row r="93" spans="2:23" x14ac:dyDescent="0.15">
      <c r="B93" s="21"/>
      <c r="C93" s="90" t="s">
        <v>43</v>
      </c>
      <c r="D93" s="90" t="s">
        <v>45</v>
      </c>
      <c r="E93" s="90" t="s">
        <v>46</v>
      </c>
      <c r="F93" s="90" t="s">
        <v>44</v>
      </c>
      <c r="G93" s="90" t="s">
        <v>48</v>
      </c>
      <c r="H93" s="90" t="s">
        <v>49</v>
      </c>
      <c r="I93" s="90" t="s">
        <v>47</v>
      </c>
      <c r="J93" s="90" t="s">
        <v>50</v>
      </c>
      <c r="K93" s="90" t="s">
        <v>224</v>
      </c>
      <c r="L93" s="90" t="s">
        <v>224</v>
      </c>
      <c r="M93" s="90" t="s">
        <v>224</v>
      </c>
      <c r="N93" s="90" t="s">
        <v>224</v>
      </c>
      <c r="O93" s="90" t="s">
        <v>224</v>
      </c>
      <c r="P93" s="90" t="s">
        <v>224</v>
      </c>
      <c r="Q93" s="90" t="s">
        <v>224</v>
      </c>
      <c r="R93" s="90" t="s">
        <v>224</v>
      </c>
      <c r="S93" s="90" t="s">
        <v>224</v>
      </c>
      <c r="T93" s="90" t="s">
        <v>224</v>
      </c>
      <c r="U93" s="90" t="s">
        <v>224</v>
      </c>
      <c r="V93" s="90" t="s">
        <v>224</v>
      </c>
      <c r="W93" s="128">
        <v>309202</v>
      </c>
    </row>
    <row r="94" spans="2:23" x14ac:dyDescent="0.15">
      <c r="B94" s="21"/>
      <c r="C94" s="90" t="s">
        <v>43</v>
      </c>
      <c r="D94" s="90" t="s">
        <v>45</v>
      </c>
      <c r="E94" s="90" t="s">
        <v>46</v>
      </c>
      <c r="F94" s="90" t="s">
        <v>44</v>
      </c>
      <c r="G94" s="90" t="s">
        <v>48</v>
      </c>
      <c r="H94" s="90" t="s">
        <v>49</v>
      </c>
      <c r="I94" s="90" t="s">
        <v>47</v>
      </c>
      <c r="J94" s="90" t="s">
        <v>50</v>
      </c>
      <c r="K94" s="90" t="s">
        <v>224</v>
      </c>
      <c r="L94" s="90" t="s">
        <v>224</v>
      </c>
      <c r="M94" s="90" t="s">
        <v>224</v>
      </c>
      <c r="N94" s="90" t="s">
        <v>224</v>
      </c>
      <c r="O94" s="90" t="s">
        <v>224</v>
      </c>
      <c r="P94" s="90" t="s">
        <v>224</v>
      </c>
      <c r="Q94" s="90" t="s">
        <v>224</v>
      </c>
      <c r="R94" s="90" t="s">
        <v>224</v>
      </c>
      <c r="S94" s="90" t="s">
        <v>224</v>
      </c>
      <c r="T94" s="90" t="s">
        <v>224</v>
      </c>
      <c r="U94" s="90" t="s">
        <v>224</v>
      </c>
      <c r="V94" s="90" t="s">
        <v>224</v>
      </c>
      <c r="W94" s="128">
        <v>309202</v>
      </c>
    </row>
    <row r="95" spans="2:23" x14ac:dyDescent="0.15">
      <c r="B95" s="21"/>
      <c r="C95" s="90" t="s">
        <v>43</v>
      </c>
      <c r="D95" s="90" t="s">
        <v>45</v>
      </c>
      <c r="E95" s="90" t="s">
        <v>46</v>
      </c>
      <c r="F95" s="90" t="s">
        <v>44</v>
      </c>
      <c r="G95" s="90" t="s">
        <v>48</v>
      </c>
      <c r="H95" s="90" t="s">
        <v>49</v>
      </c>
      <c r="I95" s="90" t="s">
        <v>47</v>
      </c>
      <c r="J95" s="90" t="s">
        <v>50</v>
      </c>
      <c r="K95" s="90" t="s">
        <v>224</v>
      </c>
      <c r="L95" s="90" t="s">
        <v>224</v>
      </c>
      <c r="M95" s="90" t="s">
        <v>224</v>
      </c>
      <c r="N95" s="90" t="s">
        <v>224</v>
      </c>
      <c r="O95" s="90" t="s">
        <v>224</v>
      </c>
      <c r="P95" s="90" t="s">
        <v>224</v>
      </c>
      <c r="Q95" s="90" t="s">
        <v>224</v>
      </c>
      <c r="R95" s="90" t="s">
        <v>224</v>
      </c>
      <c r="S95" s="90" t="s">
        <v>224</v>
      </c>
      <c r="T95" s="90" t="s">
        <v>224</v>
      </c>
      <c r="U95" s="90" t="s">
        <v>224</v>
      </c>
      <c r="V95" s="90" t="s">
        <v>224</v>
      </c>
      <c r="W95" s="128">
        <v>309202</v>
      </c>
    </row>
    <row r="96" spans="2:23" x14ac:dyDescent="0.15">
      <c r="B96" s="21"/>
      <c r="C96" s="90" t="s">
        <v>43</v>
      </c>
      <c r="D96" s="90" t="s">
        <v>45</v>
      </c>
      <c r="E96" s="90" t="s">
        <v>46</v>
      </c>
      <c r="F96" s="90" t="s">
        <v>44</v>
      </c>
      <c r="G96" s="90" t="s">
        <v>48</v>
      </c>
      <c r="H96" s="90" t="s">
        <v>49</v>
      </c>
      <c r="I96" s="90" t="s">
        <v>47</v>
      </c>
      <c r="J96" s="90" t="s">
        <v>50</v>
      </c>
      <c r="K96" s="90" t="s">
        <v>224</v>
      </c>
      <c r="L96" s="90" t="s">
        <v>224</v>
      </c>
      <c r="M96" s="90" t="s">
        <v>224</v>
      </c>
      <c r="N96" s="90" t="s">
        <v>224</v>
      </c>
      <c r="O96" s="90" t="s">
        <v>224</v>
      </c>
      <c r="P96" s="90" t="s">
        <v>224</v>
      </c>
      <c r="Q96" s="90" t="s">
        <v>224</v>
      </c>
      <c r="R96" s="90" t="s">
        <v>224</v>
      </c>
      <c r="S96" s="90" t="s">
        <v>224</v>
      </c>
      <c r="T96" s="90" t="s">
        <v>224</v>
      </c>
      <c r="U96" s="90" t="s">
        <v>224</v>
      </c>
      <c r="V96" s="90" t="s">
        <v>224</v>
      </c>
      <c r="W96" s="128">
        <v>309202</v>
      </c>
    </row>
    <row r="97" spans="2:23" x14ac:dyDescent="0.15">
      <c r="B97" s="21"/>
      <c r="C97" s="90" t="s">
        <v>43</v>
      </c>
      <c r="D97" s="90" t="s">
        <v>45</v>
      </c>
      <c r="E97" s="90" t="s">
        <v>46</v>
      </c>
      <c r="F97" s="90" t="s">
        <v>44</v>
      </c>
      <c r="G97" s="90" t="s">
        <v>48</v>
      </c>
      <c r="H97" s="90" t="s">
        <v>49</v>
      </c>
      <c r="I97" s="90" t="s">
        <v>47</v>
      </c>
      <c r="J97" s="90" t="s">
        <v>50</v>
      </c>
      <c r="K97" s="90" t="s">
        <v>224</v>
      </c>
      <c r="L97" s="90" t="s">
        <v>224</v>
      </c>
      <c r="M97" s="90" t="s">
        <v>224</v>
      </c>
      <c r="N97" s="90" t="s">
        <v>224</v>
      </c>
      <c r="O97" s="90" t="s">
        <v>224</v>
      </c>
      <c r="P97" s="90" t="s">
        <v>224</v>
      </c>
      <c r="Q97" s="90" t="s">
        <v>224</v>
      </c>
      <c r="R97" s="90" t="s">
        <v>224</v>
      </c>
      <c r="S97" s="90" t="s">
        <v>224</v>
      </c>
      <c r="T97" s="90" t="s">
        <v>224</v>
      </c>
      <c r="U97" s="90" t="s">
        <v>224</v>
      </c>
      <c r="V97" s="90" t="s">
        <v>224</v>
      </c>
      <c r="W97" s="128">
        <v>309202</v>
      </c>
    </row>
    <row r="98" spans="2:23" x14ac:dyDescent="0.15">
      <c r="B98" s="21"/>
      <c r="C98" s="90" t="s">
        <v>43</v>
      </c>
      <c r="D98" s="90" t="s">
        <v>45</v>
      </c>
      <c r="E98" s="90" t="s">
        <v>46</v>
      </c>
      <c r="F98" s="90" t="s">
        <v>44</v>
      </c>
      <c r="G98" s="90" t="s">
        <v>48</v>
      </c>
      <c r="H98" s="90" t="s">
        <v>49</v>
      </c>
      <c r="I98" s="90" t="s">
        <v>47</v>
      </c>
      <c r="J98" s="90" t="s">
        <v>50</v>
      </c>
      <c r="K98" s="90" t="s">
        <v>224</v>
      </c>
      <c r="L98" s="90" t="s">
        <v>224</v>
      </c>
      <c r="M98" s="90" t="s">
        <v>224</v>
      </c>
      <c r="N98" s="90" t="s">
        <v>224</v>
      </c>
      <c r="O98" s="90" t="s">
        <v>224</v>
      </c>
      <c r="P98" s="90" t="s">
        <v>224</v>
      </c>
      <c r="Q98" s="90" t="s">
        <v>224</v>
      </c>
      <c r="R98" s="90" t="s">
        <v>224</v>
      </c>
      <c r="S98" s="90" t="s">
        <v>224</v>
      </c>
      <c r="T98" s="90" t="s">
        <v>224</v>
      </c>
      <c r="U98" s="90" t="s">
        <v>224</v>
      </c>
      <c r="V98" s="90" t="s">
        <v>224</v>
      </c>
      <c r="W98" s="128">
        <v>309202</v>
      </c>
    </row>
    <row r="99" spans="2:23" x14ac:dyDescent="0.15">
      <c r="B99" s="21"/>
      <c r="C99" s="90" t="s">
        <v>43</v>
      </c>
      <c r="D99" s="90" t="s">
        <v>45</v>
      </c>
      <c r="E99" s="90" t="s">
        <v>46</v>
      </c>
      <c r="F99" s="90" t="s">
        <v>44</v>
      </c>
      <c r="G99" s="90" t="s">
        <v>48</v>
      </c>
      <c r="H99" s="90" t="s">
        <v>49</v>
      </c>
      <c r="I99" s="90" t="s">
        <v>47</v>
      </c>
      <c r="J99" s="90" t="s">
        <v>50</v>
      </c>
      <c r="K99" s="90" t="s">
        <v>224</v>
      </c>
      <c r="L99" s="90" t="s">
        <v>224</v>
      </c>
      <c r="M99" s="90" t="s">
        <v>224</v>
      </c>
      <c r="N99" s="90" t="s">
        <v>224</v>
      </c>
      <c r="O99" s="90" t="s">
        <v>224</v>
      </c>
      <c r="P99" s="90" t="s">
        <v>224</v>
      </c>
      <c r="Q99" s="90" t="s">
        <v>224</v>
      </c>
      <c r="R99" s="90" t="s">
        <v>224</v>
      </c>
      <c r="S99" s="90" t="s">
        <v>224</v>
      </c>
      <c r="T99" s="90" t="s">
        <v>224</v>
      </c>
      <c r="U99" s="90" t="s">
        <v>224</v>
      </c>
      <c r="V99" s="90" t="s">
        <v>224</v>
      </c>
      <c r="W99" s="128">
        <v>309202</v>
      </c>
    </row>
    <row r="100" spans="2:23" x14ac:dyDescent="0.15">
      <c r="B100" s="21"/>
      <c r="C100" s="90" t="s">
        <v>43</v>
      </c>
      <c r="D100" s="90" t="s">
        <v>45</v>
      </c>
      <c r="E100" s="90" t="s">
        <v>46</v>
      </c>
      <c r="F100" s="90" t="s">
        <v>44</v>
      </c>
      <c r="G100" s="90" t="s">
        <v>48</v>
      </c>
      <c r="H100" s="90" t="s">
        <v>49</v>
      </c>
      <c r="I100" s="90" t="s">
        <v>47</v>
      </c>
      <c r="J100" s="90" t="s">
        <v>50</v>
      </c>
      <c r="K100" s="90" t="s">
        <v>224</v>
      </c>
      <c r="L100" s="90" t="s">
        <v>224</v>
      </c>
      <c r="M100" s="90" t="s">
        <v>224</v>
      </c>
      <c r="N100" s="90" t="s">
        <v>224</v>
      </c>
      <c r="O100" s="90" t="s">
        <v>224</v>
      </c>
      <c r="P100" s="90" t="s">
        <v>224</v>
      </c>
      <c r="Q100" s="90" t="s">
        <v>224</v>
      </c>
      <c r="R100" s="90" t="s">
        <v>224</v>
      </c>
      <c r="S100" s="90" t="s">
        <v>224</v>
      </c>
      <c r="T100" s="90" t="s">
        <v>224</v>
      </c>
      <c r="U100" s="90" t="s">
        <v>224</v>
      </c>
      <c r="V100" s="90" t="s">
        <v>224</v>
      </c>
      <c r="W100" s="128">
        <v>309202</v>
      </c>
    </row>
    <row r="101" spans="2:23" x14ac:dyDescent="0.15">
      <c r="B101" s="21"/>
      <c r="C101" s="90" t="s">
        <v>43</v>
      </c>
      <c r="D101" s="90" t="s">
        <v>45</v>
      </c>
      <c r="E101" s="90" t="s">
        <v>46</v>
      </c>
      <c r="F101" s="90" t="s">
        <v>44</v>
      </c>
      <c r="G101" s="90" t="s">
        <v>48</v>
      </c>
      <c r="H101" s="90" t="s">
        <v>49</v>
      </c>
      <c r="I101" s="90" t="s">
        <v>47</v>
      </c>
      <c r="J101" s="90" t="s">
        <v>50</v>
      </c>
      <c r="K101" s="90" t="s">
        <v>224</v>
      </c>
      <c r="L101" s="90" t="s">
        <v>224</v>
      </c>
      <c r="M101" s="90" t="s">
        <v>224</v>
      </c>
      <c r="N101" s="90" t="s">
        <v>224</v>
      </c>
      <c r="O101" s="90" t="s">
        <v>224</v>
      </c>
      <c r="P101" s="90" t="s">
        <v>224</v>
      </c>
      <c r="Q101" s="90" t="s">
        <v>224</v>
      </c>
      <c r="R101" s="90" t="s">
        <v>224</v>
      </c>
      <c r="S101" s="90" t="s">
        <v>224</v>
      </c>
      <c r="T101" s="90" t="s">
        <v>224</v>
      </c>
      <c r="U101" s="90" t="s">
        <v>224</v>
      </c>
      <c r="V101" s="90" t="s">
        <v>224</v>
      </c>
      <c r="W101" s="128">
        <v>309202</v>
      </c>
    </row>
    <row r="102" spans="2:23" x14ac:dyDescent="0.15">
      <c r="B102" s="21"/>
      <c r="C102" s="90" t="s">
        <v>43</v>
      </c>
      <c r="D102" s="90" t="s">
        <v>45</v>
      </c>
      <c r="E102" s="90" t="s">
        <v>46</v>
      </c>
      <c r="F102" s="90" t="s">
        <v>44</v>
      </c>
      <c r="G102" s="90" t="s">
        <v>48</v>
      </c>
      <c r="H102" s="90" t="s">
        <v>49</v>
      </c>
      <c r="I102" s="90" t="s">
        <v>47</v>
      </c>
      <c r="J102" s="90" t="s">
        <v>50</v>
      </c>
      <c r="K102" s="90" t="s">
        <v>224</v>
      </c>
      <c r="L102" s="90" t="s">
        <v>224</v>
      </c>
      <c r="M102" s="90" t="s">
        <v>224</v>
      </c>
      <c r="N102" s="90" t="s">
        <v>224</v>
      </c>
      <c r="O102" s="90" t="s">
        <v>224</v>
      </c>
      <c r="P102" s="90" t="s">
        <v>224</v>
      </c>
      <c r="Q102" s="90" t="s">
        <v>224</v>
      </c>
      <c r="R102" s="90" t="s">
        <v>224</v>
      </c>
      <c r="S102" s="90" t="s">
        <v>224</v>
      </c>
      <c r="T102" s="90" t="s">
        <v>224</v>
      </c>
      <c r="U102" s="90" t="s">
        <v>224</v>
      </c>
      <c r="V102" s="90" t="s">
        <v>224</v>
      </c>
      <c r="W102" s="128">
        <v>309202</v>
      </c>
    </row>
    <row r="103" spans="2:23" x14ac:dyDescent="0.15">
      <c r="B103" s="21"/>
    </row>
    <row r="104" spans="2:23" x14ac:dyDescent="0.15">
      <c r="B104" s="21"/>
    </row>
    <row r="105" spans="2:23" x14ac:dyDescent="0.15">
      <c r="B105" s="21"/>
    </row>
    <row r="106" spans="2:23" x14ac:dyDescent="0.15">
      <c r="B106" s="21"/>
    </row>
    <row r="107" spans="2:23" x14ac:dyDescent="0.15">
      <c r="B107" s="21"/>
    </row>
    <row r="108" spans="2:23" x14ac:dyDescent="0.15">
      <c r="B108" s="21"/>
    </row>
    <row r="109" spans="2:23" x14ac:dyDescent="0.15">
      <c r="B109" s="21"/>
    </row>
    <row r="110" spans="2:23" x14ac:dyDescent="0.15">
      <c r="B110" s="21"/>
    </row>
    <row r="111" spans="2:23" x14ac:dyDescent="0.15">
      <c r="B111" s="21"/>
    </row>
    <row r="112" spans="2:23" x14ac:dyDescent="0.15">
      <c r="B112" s="21"/>
    </row>
    <row r="113" spans="2:2" x14ac:dyDescent="0.15">
      <c r="B113" s="21"/>
    </row>
    <row r="114" spans="2:2" x14ac:dyDescent="0.15">
      <c r="B114" s="21"/>
    </row>
    <row r="115" spans="2:2" x14ac:dyDescent="0.15">
      <c r="B115" s="21"/>
    </row>
    <row r="116" spans="2:2" x14ac:dyDescent="0.15">
      <c r="B116" s="21"/>
    </row>
    <row r="117" spans="2:2" x14ac:dyDescent="0.15">
      <c r="B117" s="21"/>
    </row>
    <row r="118" spans="2:2" x14ac:dyDescent="0.15">
      <c r="B118" s="21"/>
    </row>
    <row r="119" spans="2:2" x14ac:dyDescent="0.15">
      <c r="B119" s="21"/>
    </row>
    <row r="120" spans="2:2" x14ac:dyDescent="0.15">
      <c r="B120" s="21"/>
    </row>
    <row r="121" spans="2:2" x14ac:dyDescent="0.15">
      <c r="B121" s="21"/>
    </row>
    <row r="122" spans="2:2" x14ac:dyDescent="0.15">
      <c r="B122" s="21"/>
    </row>
    <row r="123" spans="2:2" x14ac:dyDescent="0.15">
      <c r="B123" s="21"/>
    </row>
    <row r="124" spans="2:2" x14ac:dyDescent="0.15">
      <c r="B124" s="21"/>
    </row>
    <row r="125" spans="2:2" x14ac:dyDescent="0.15">
      <c r="B125" s="21"/>
    </row>
    <row r="126" spans="2:2" x14ac:dyDescent="0.15">
      <c r="B126" s="21"/>
    </row>
    <row r="127" spans="2:2" x14ac:dyDescent="0.15">
      <c r="B127" s="21"/>
    </row>
    <row r="128" spans="2:2" x14ac:dyDescent="0.15">
      <c r="B128" s="21"/>
    </row>
    <row r="129" spans="2:2" x14ac:dyDescent="0.15">
      <c r="B129" s="21"/>
    </row>
    <row r="130" spans="2:2" x14ac:dyDescent="0.15">
      <c r="B130" s="21"/>
    </row>
    <row r="131" spans="2:2" x14ac:dyDescent="0.15">
      <c r="B131" s="21"/>
    </row>
    <row r="132" spans="2:2" x14ac:dyDescent="0.15">
      <c r="B132" s="21"/>
    </row>
    <row r="133" spans="2:2" x14ac:dyDescent="0.15">
      <c r="B133" s="21"/>
    </row>
    <row r="134" spans="2:2" x14ac:dyDescent="0.15">
      <c r="B134" s="21"/>
    </row>
    <row r="135" spans="2:2" x14ac:dyDescent="0.15">
      <c r="B135" s="21"/>
    </row>
    <row r="136" spans="2:2" x14ac:dyDescent="0.15">
      <c r="B136" s="21"/>
    </row>
    <row r="137" spans="2:2" x14ac:dyDescent="0.15">
      <c r="B137" s="21"/>
    </row>
    <row r="138" spans="2:2" x14ac:dyDescent="0.15">
      <c r="B138" s="21"/>
    </row>
    <row r="139" spans="2:2" x14ac:dyDescent="0.15">
      <c r="B139" s="21"/>
    </row>
    <row r="140" spans="2:2" x14ac:dyDescent="0.15">
      <c r="B140" s="21"/>
    </row>
    <row r="141" spans="2:2" x14ac:dyDescent="0.15">
      <c r="B141" s="21"/>
    </row>
    <row r="142" spans="2:2" x14ac:dyDescent="0.15">
      <c r="B142" s="21"/>
    </row>
    <row r="143" spans="2:2" x14ac:dyDescent="0.15">
      <c r="B143" s="21"/>
    </row>
    <row r="144" spans="2:2" x14ac:dyDescent="0.15">
      <c r="B144" s="21"/>
    </row>
    <row r="145" spans="2:2" x14ac:dyDescent="0.15">
      <c r="B145" s="21"/>
    </row>
    <row r="146" spans="2:2" x14ac:dyDescent="0.15">
      <c r="B146" s="21"/>
    </row>
    <row r="147" spans="2:2" x14ac:dyDescent="0.15">
      <c r="B147" s="21"/>
    </row>
    <row r="148" spans="2:2" x14ac:dyDescent="0.15">
      <c r="B148" s="21"/>
    </row>
    <row r="149" spans="2:2" x14ac:dyDescent="0.15">
      <c r="B149" s="21"/>
    </row>
    <row r="150" spans="2:2" x14ac:dyDescent="0.15">
      <c r="B150" s="21"/>
    </row>
    <row r="151" spans="2:2" x14ac:dyDescent="0.15">
      <c r="B151" s="21"/>
    </row>
    <row r="152" spans="2:2" x14ac:dyDescent="0.15">
      <c r="B152" s="21"/>
    </row>
    <row r="153" spans="2:2" x14ac:dyDescent="0.15">
      <c r="B153" s="21"/>
    </row>
    <row r="154" spans="2:2" x14ac:dyDescent="0.15">
      <c r="B154" s="21"/>
    </row>
    <row r="155" spans="2:2" x14ac:dyDescent="0.15">
      <c r="B155" s="21"/>
    </row>
    <row r="156" spans="2:2" x14ac:dyDescent="0.15">
      <c r="B156" s="21"/>
    </row>
    <row r="157" spans="2:2" x14ac:dyDescent="0.15">
      <c r="B157" s="21"/>
    </row>
    <row r="158" spans="2:2" x14ac:dyDescent="0.15">
      <c r="B158" s="21"/>
    </row>
    <row r="159" spans="2:2" x14ac:dyDescent="0.15">
      <c r="B159" s="21"/>
    </row>
    <row r="160" spans="2:2" x14ac:dyDescent="0.15">
      <c r="B160" s="21"/>
    </row>
    <row r="161" spans="2:2" x14ac:dyDescent="0.15">
      <c r="B161" s="21"/>
    </row>
    <row r="162" spans="2:2" x14ac:dyDescent="0.15">
      <c r="B162" s="21"/>
    </row>
    <row r="163" spans="2:2" x14ac:dyDescent="0.15">
      <c r="B163" s="21"/>
    </row>
    <row r="164" spans="2:2" x14ac:dyDescent="0.15">
      <c r="B164" s="21"/>
    </row>
    <row r="165" spans="2:2" x14ac:dyDescent="0.15">
      <c r="B165" s="21"/>
    </row>
    <row r="166" spans="2:2" x14ac:dyDescent="0.15">
      <c r="B166" s="21"/>
    </row>
    <row r="167" spans="2:2" x14ac:dyDescent="0.15">
      <c r="B167" s="21"/>
    </row>
    <row r="168" spans="2:2" x14ac:dyDescent="0.15">
      <c r="B168" s="21"/>
    </row>
    <row r="169" spans="2:2" x14ac:dyDescent="0.15">
      <c r="B169" s="21"/>
    </row>
    <row r="170" spans="2:2" x14ac:dyDescent="0.15">
      <c r="B170" s="21"/>
    </row>
    <row r="171" spans="2:2" x14ac:dyDescent="0.15">
      <c r="B171" s="21"/>
    </row>
    <row r="172" spans="2:2" x14ac:dyDescent="0.15">
      <c r="B172" s="21"/>
    </row>
    <row r="173" spans="2:2" x14ac:dyDescent="0.15">
      <c r="B173" s="21"/>
    </row>
    <row r="174" spans="2:2" x14ac:dyDescent="0.15">
      <c r="B174" s="21"/>
    </row>
    <row r="175" spans="2:2" x14ac:dyDescent="0.15">
      <c r="B175" s="21"/>
    </row>
    <row r="176" spans="2:2" x14ac:dyDescent="0.15">
      <c r="B176" s="21"/>
    </row>
    <row r="177" spans="2:2" x14ac:dyDescent="0.15">
      <c r="B177" s="21"/>
    </row>
    <row r="178" spans="2:2" x14ac:dyDescent="0.15">
      <c r="B178" s="21"/>
    </row>
    <row r="179" spans="2:2" x14ac:dyDescent="0.15">
      <c r="B179" s="21"/>
    </row>
    <row r="180" spans="2:2" x14ac:dyDescent="0.15">
      <c r="B180" s="21"/>
    </row>
    <row r="181" spans="2:2" x14ac:dyDescent="0.15">
      <c r="B181" s="21"/>
    </row>
    <row r="182" spans="2:2" x14ac:dyDescent="0.15">
      <c r="B182" s="21"/>
    </row>
    <row r="183" spans="2:2" x14ac:dyDescent="0.15">
      <c r="B183" s="21"/>
    </row>
    <row r="184" spans="2:2" x14ac:dyDescent="0.15">
      <c r="B184" s="21"/>
    </row>
    <row r="185" spans="2:2" x14ac:dyDescent="0.15">
      <c r="B185" s="21"/>
    </row>
    <row r="186" spans="2:2" x14ac:dyDescent="0.15">
      <c r="B186" s="21"/>
    </row>
    <row r="187" spans="2:2" x14ac:dyDescent="0.15">
      <c r="B187" s="21"/>
    </row>
    <row r="188" spans="2:2" x14ac:dyDescent="0.15">
      <c r="B188" s="21"/>
    </row>
    <row r="189" spans="2:2" x14ac:dyDescent="0.15">
      <c r="B189" s="21"/>
    </row>
    <row r="190" spans="2:2" x14ac:dyDescent="0.15">
      <c r="B190" s="21"/>
    </row>
    <row r="191" spans="2:2" x14ac:dyDescent="0.15">
      <c r="B191" s="21"/>
    </row>
    <row r="192" spans="2:2" x14ac:dyDescent="0.15">
      <c r="B192" s="21"/>
    </row>
    <row r="193" spans="2:2" x14ac:dyDescent="0.15">
      <c r="B193" s="21"/>
    </row>
    <row r="194" spans="2:2" x14ac:dyDescent="0.15">
      <c r="B194" s="21"/>
    </row>
    <row r="195" spans="2:2" x14ac:dyDescent="0.15">
      <c r="B195" s="21"/>
    </row>
    <row r="196" spans="2:2" x14ac:dyDescent="0.15">
      <c r="B196" s="21"/>
    </row>
    <row r="197" spans="2:2" x14ac:dyDescent="0.15">
      <c r="B197" s="21"/>
    </row>
    <row r="198" spans="2:2" x14ac:dyDescent="0.15">
      <c r="B198" s="21"/>
    </row>
    <row r="199" spans="2:2" x14ac:dyDescent="0.15">
      <c r="B199" s="21"/>
    </row>
    <row r="200" spans="2:2" x14ac:dyDescent="0.15">
      <c r="B200" s="21"/>
    </row>
    <row r="201" spans="2:2" x14ac:dyDescent="0.15">
      <c r="B201" s="21"/>
    </row>
    <row r="202" spans="2:2" x14ac:dyDescent="0.15">
      <c r="B202" s="21"/>
    </row>
    <row r="203" spans="2:2" x14ac:dyDescent="0.15">
      <c r="B203" s="21"/>
    </row>
    <row r="204" spans="2:2" x14ac:dyDescent="0.15">
      <c r="B204" s="21"/>
    </row>
    <row r="205" spans="2:2" x14ac:dyDescent="0.15">
      <c r="B205" s="21"/>
    </row>
    <row r="206" spans="2:2" x14ac:dyDescent="0.15">
      <c r="B206" s="21"/>
    </row>
    <row r="207" spans="2:2" x14ac:dyDescent="0.15">
      <c r="B207" s="21"/>
    </row>
    <row r="208" spans="2:2" x14ac:dyDescent="0.15">
      <c r="B208" s="21"/>
    </row>
    <row r="209" spans="2:2" x14ac:dyDescent="0.15">
      <c r="B209" s="21"/>
    </row>
    <row r="210" spans="2:2" x14ac:dyDescent="0.15">
      <c r="B210" s="21"/>
    </row>
    <row r="211" spans="2:2" x14ac:dyDescent="0.15">
      <c r="B211" s="21"/>
    </row>
    <row r="212" spans="2:2" x14ac:dyDescent="0.15">
      <c r="B212" s="21"/>
    </row>
    <row r="213" spans="2:2" x14ac:dyDescent="0.15">
      <c r="B213" s="21"/>
    </row>
    <row r="214" spans="2:2" x14ac:dyDescent="0.15">
      <c r="B214" s="21"/>
    </row>
    <row r="215" spans="2:2" x14ac:dyDescent="0.15">
      <c r="B215" s="21"/>
    </row>
    <row r="216" spans="2:2" x14ac:dyDescent="0.15">
      <c r="B216" s="21"/>
    </row>
    <row r="217" spans="2:2" x14ac:dyDescent="0.15">
      <c r="B217" s="21"/>
    </row>
    <row r="218" spans="2:2" x14ac:dyDescent="0.15">
      <c r="B218" s="21"/>
    </row>
    <row r="219" spans="2:2" x14ac:dyDescent="0.15">
      <c r="B219" s="21"/>
    </row>
    <row r="220" spans="2:2" x14ac:dyDescent="0.15">
      <c r="B220" s="21"/>
    </row>
    <row r="221" spans="2:2" x14ac:dyDescent="0.15">
      <c r="B221" s="21"/>
    </row>
    <row r="222" spans="2:2" x14ac:dyDescent="0.15">
      <c r="B222" s="21"/>
    </row>
    <row r="223" spans="2:2" x14ac:dyDescent="0.15">
      <c r="B223" s="21"/>
    </row>
    <row r="224" spans="2:2" x14ac:dyDescent="0.15">
      <c r="B224" s="21"/>
    </row>
    <row r="225" spans="2:2" x14ac:dyDescent="0.15">
      <c r="B225" s="21"/>
    </row>
    <row r="226" spans="2:2" x14ac:dyDescent="0.15">
      <c r="B226" s="21"/>
    </row>
    <row r="227" spans="2:2" x14ac:dyDescent="0.15">
      <c r="B227" s="21"/>
    </row>
    <row r="228" spans="2:2" x14ac:dyDescent="0.15">
      <c r="B228" s="21"/>
    </row>
  </sheetData>
  <sortState ref="C3:W102">
    <sortCondition ref="W3:W102"/>
  </sortState>
  <mergeCells count="1">
    <mergeCell ref="A1:D1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FF00"/>
  </sheetPr>
  <dimension ref="A1:X228"/>
  <sheetViews>
    <sheetView showGridLines="0" workbookViewId="0">
      <selection activeCell="H36" sqref="H36"/>
    </sheetView>
  </sheetViews>
  <sheetFormatPr baseColWidth="10" defaultRowHeight="10.5" x14ac:dyDescent="0.15"/>
  <cols>
    <col min="1" max="1" width="2.140625" style="90" customWidth="1"/>
    <col min="2" max="2" width="15.7109375" style="90" bestFit="1" customWidth="1"/>
    <col min="3" max="3" width="24" style="128" bestFit="1" customWidth="1"/>
    <col min="4" max="4" width="24" style="128" customWidth="1"/>
    <col min="5" max="22" width="24" style="90" customWidth="1"/>
    <col min="23" max="23" width="24" style="128" customWidth="1"/>
    <col min="24" max="24" width="24" style="90" customWidth="1"/>
    <col min="25" max="16384" width="11.42578125" style="90"/>
  </cols>
  <sheetData>
    <row r="1" spans="1:24" s="125" customFormat="1" ht="86.25" customHeight="1" x14ac:dyDescent="0.15">
      <c r="A1" s="159"/>
      <c r="B1" s="159"/>
      <c r="C1" s="159"/>
      <c r="D1" s="159"/>
      <c r="F1" s="51" t="s">
        <v>226</v>
      </c>
      <c r="G1" s="139">
        <f>Población!I1</f>
        <v>20</v>
      </c>
      <c r="W1" s="126"/>
    </row>
    <row r="2" spans="1:24" x14ac:dyDescent="0.15">
      <c r="B2" s="13" t="s">
        <v>232</v>
      </c>
      <c r="C2" s="127" t="s">
        <v>233</v>
      </c>
      <c r="D2" s="127" t="s">
        <v>234</v>
      </c>
      <c r="E2" s="65" t="str">
        <f>'Layout solución (individuo AG)'!F4</f>
        <v>Elemento # 1</v>
      </c>
      <c r="F2" s="65" t="str">
        <f>'Layout solución (individuo AG)'!G4</f>
        <v>Elemento # 2</v>
      </c>
      <c r="G2" s="65" t="str">
        <f>'Layout solución (individuo AG)'!H4</f>
        <v>Elemento # 3</v>
      </c>
      <c r="H2" s="65" t="str">
        <f>'Layout solución (individuo AG)'!I4</f>
        <v>Elemento # 4</v>
      </c>
      <c r="I2" s="65" t="str">
        <f>'Layout solución (individuo AG)'!J4</f>
        <v>Elemento # 5</v>
      </c>
      <c r="J2" s="65" t="str">
        <f>'Layout solución (individuo AG)'!K4</f>
        <v>Elemento # 6</v>
      </c>
      <c r="K2" s="65" t="str">
        <f>'Layout solución (individuo AG)'!L4</f>
        <v>Elemento # 7</v>
      </c>
      <c r="L2" s="65" t="str">
        <f>'Layout solución (individuo AG)'!M4</f>
        <v>Elemento # 8</v>
      </c>
      <c r="M2" s="65" t="str">
        <f>'Layout solución (individuo AG)'!N4</f>
        <v>Elemento # 9</v>
      </c>
      <c r="N2" s="65" t="str">
        <f>'Layout solución (individuo AG)'!O4</f>
        <v>Elemento # 10</v>
      </c>
      <c r="O2" s="65" t="str">
        <f>'Layout solución (individuo AG)'!P4</f>
        <v>Elemento # 11</v>
      </c>
      <c r="P2" s="65" t="str">
        <f>'Layout solución (individuo AG)'!Q4</f>
        <v>Elemento # 12</v>
      </c>
      <c r="Q2" s="65" t="str">
        <f>'Layout solución (individuo AG)'!R4</f>
        <v>Elemento # 13</v>
      </c>
      <c r="R2" s="65" t="str">
        <f>'Layout solución (individuo AG)'!S4</f>
        <v>Elemento # 14</v>
      </c>
      <c r="S2" s="65" t="str">
        <f>'Layout solución (individuo AG)'!T4</f>
        <v>Elemento # 15</v>
      </c>
      <c r="T2" s="65" t="str">
        <f>'Layout solución (individuo AG)'!U4</f>
        <v>Elemento # 16</v>
      </c>
      <c r="U2" s="65" t="str">
        <f>'Layout solución (individuo AG)'!V4</f>
        <v>Elemento # 17</v>
      </c>
      <c r="V2" s="65" t="str">
        <f>'Layout solución (individuo AG)'!W4</f>
        <v>Elemento # 18</v>
      </c>
      <c r="W2" s="65" t="str">
        <f>'Layout solución (individuo AG)'!X4</f>
        <v>Elemento # 19</v>
      </c>
      <c r="X2" s="65" t="str">
        <f>'Layout solución (individuo AG)'!Y4</f>
        <v>Elemento # 20</v>
      </c>
    </row>
    <row r="3" spans="1:24" x14ac:dyDescent="0.15">
      <c r="B3" s="21">
        <v>1</v>
      </c>
      <c r="C3" s="131">
        <v>483507.638125</v>
      </c>
      <c r="D3" s="128">
        <v>310261.99999999994</v>
      </c>
      <c r="E3" s="90" t="s">
        <v>43</v>
      </c>
      <c r="F3" s="90" t="s">
        <v>45</v>
      </c>
      <c r="G3" s="90" t="s">
        <v>46</v>
      </c>
      <c r="H3" s="90" t="s">
        <v>44</v>
      </c>
      <c r="I3" s="90" t="s">
        <v>48</v>
      </c>
      <c r="J3" s="90" t="s">
        <v>50</v>
      </c>
      <c r="K3" s="90" t="s">
        <v>47</v>
      </c>
      <c r="L3" s="90" t="s">
        <v>49</v>
      </c>
      <c r="M3" s="90" t="s">
        <v>224</v>
      </c>
      <c r="N3" s="90" t="s">
        <v>224</v>
      </c>
      <c r="O3" s="90" t="s">
        <v>224</v>
      </c>
      <c r="P3" s="90" t="s">
        <v>224</v>
      </c>
      <c r="Q3" s="90" t="s">
        <v>224</v>
      </c>
      <c r="R3" s="90" t="s">
        <v>224</v>
      </c>
      <c r="S3" s="90" t="s">
        <v>224</v>
      </c>
      <c r="T3" s="90" t="s">
        <v>224</v>
      </c>
      <c r="U3" s="90" t="s">
        <v>224</v>
      </c>
      <c r="V3" s="90" t="s">
        <v>224</v>
      </c>
      <c r="W3" s="128" t="s">
        <v>224</v>
      </c>
      <c r="X3" s="90" t="s">
        <v>224</v>
      </c>
    </row>
    <row r="4" spans="1:24" x14ac:dyDescent="0.15">
      <c r="B4" s="21">
        <v>2</v>
      </c>
      <c r="C4" s="128">
        <v>439617.013125</v>
      </c>
      <c r="D4" s="128">
        <v>310261.99999999994</v>
      </c>
      <c r="E4" s="90" t="s">
        <v>43</v>
      </c>
      <c r="F4" s="90" t="s">
        <v>45</v>
      </c>
      <c r="G4" s="90" t="s">
        <v>46</v>
      </c>
      <c r="H4" s="90" t="s">
        <v>44</v>
      </c>
      <c r="I4" s="90" t="s">
        <v>48</v>
      </c>
      <c r="J4" s="90" t="s">
        <v>50</v>
      </c>
      <c r="K4" s="90" t="s">
        <v>47</v>
      </c>
      <c r="L4" s="90" t="s">
        <v>49</v>
      </c>
      <c r="M4" s="90" t="s">
        <v>224</v>
      </c>
      <c r="N4" s="90" t="s">
        <v>224</v>
      </c>
      <c r="O4" s="90" t="s">
        <v>224</v>
      </c>
      <c r="P4" s="90" t="s">
        <v>224</v>
      </c>
      <c r="Q4" s="90" t="s">
        <v>224</v>
      </c>
      <c r="R4" s="90" t="s">
        <v>224</v>
      </c>
      <c r="S4" s="90" t="s">
        <v>224</v>
      </c>
      <c r="T4" s="90" t="s">
        <v>224</v>
      </c>
      <c r="U4" s="90" t="s">
        <v>224</v>
      </c>
      <c r="V4" s="90" t="s">
        <v>224</v>
      </c>
      <c r="W4" s="128" t="s">
        <v>224</v>
      </c>
      <c r="X4" s="90" t="s">
        <v>224</v>
      </c>
    </row>
    <row r="5" spans="1:24" x14ac:dyDescent="0.15">
      <c r="B5" s="21">
        <v>3</v>
      </c>
      <c r="C5" s="128">
        <v>426200.62624999997</v>
      </c>
      <c r="D5" s="128">
        <v>310261.99999999994</v>
      </c>
      <c r="E5" s="90" t="s">
        <v>43</v>
      </c>
      <c r="F5" s="90" t="s">
        <v>45</v>
      </c>
      <c r="G5" s="90" t="s">
        <v>46</v>
      </c>
      <c r="H5" s="90" t="s">
        <v>44</v>
      </c>
      <c r="I5" s="90" t="s">
        <v>48</v>
      </c>
      <c r="J5" s="90" t="s">
        <v>50</v>
      </c>
      <c r="K5" s="90" t="s">
        <v>47</v>
      </c>
      <c r="L5" s="90" t="s">
        <v>49</v>
      </c>
      <c r="M5" s="90" t="s">
        <v>224</v>
      </c>
      <c r="N5" s="90" t="s">
        <v>224</v>
      </c>
      <c r="O5" s="90" t="s">
        <v>224</v>
      </c>
      <c r="P5" s="90" t="s">
        <v>224</v>
      </c>
      <c r="Q5" s="90" t="s">
        <v>224</v>
      </c>
      <c r="R5" s="90" t="s">
        <v>224</v>
      </c>
      <c r="S5" s="90" t="s">
        <v>224</v>
      </c>
      <c r="T5" s="90" t="s">
        <v>224</v>
      </c>
      <c r="U5" s="90" t="s">
        <v>224</v>
      </c>
      <c r="V5" s="90" t="s">
        <v>224</v>
      </c>
      <c r="W5" s="128" t="s">
        <v>224</v>
      </c>
      <c r="X5" s="90" t="s">
        <v>224</v>
      </c>
    </row>
    <row r="6" spans="1:24" x14ac:dyDescent="0.15">
      <c r="B6" s="21">
        <v>4</v>
      </c>
      <c r="C6" s="128">
        <v>412829.45500000002</v>
      </c>
      <c r="D6" s="128">
        <v>309202</v>
      </c>
      <c r="E6" s="90" t="s">
        <v>43</v>
      </c>
      <c r="F6" s="90" t="s">
        <v>45</v>
      </c>
      <c r="G6" s="90" t="s">
        <v>46</v>
      </c>
      <c r="H6" s="90" t="s">
        <v>44</v>
      </c>
      <c r="I6" s="90" t="s">
        <v>48</v>
      </c>
      <c r="J6" s="90" t="s">
        <v>49</v>
      </c>
      <c r="K6" s="90" t="s">
        <v>47</v>
      </c>
      <c r="L6" s="90" t="s">
        <v>50</v>
      </c>
      <c r="M6" s="90" t="s">
        <v>224</v>
      </c>
      <c r="N6" s="90" t="s">
        <v>224</v>
      </c>
      <c r="O6" s="90" t="s">
        <v>224</v>
      </c>
      <c r="P6" s="90" t="s">
        <v>224</v>
      </c>
      <c r="Q6" s="90" t="s">
        <v>224</v>
      </c>
      <c r="R6" s="90" t="s">
        <v>224</v>
      </c>
      <c r="S6" s="90" t="s">
        <v>224</v>
      </c>
      <c r="T6" s="90" t="s">
        <v>224</v>
      </c>
      <c r="U6" s="90" t="s">
        <v>224</v>
      </c>
      <c r="V6" s="90" t="s">
        <v>224</v>
      </c>
      <c r="W6" s="128" t="s">
        <v>224</v>
      </c>
      <c r="X6" s="90" t="s">
        <v>224</v>
      </c>
    </row>
    <row r="7" spans="1:24" x14ac:dyDescent="0.15">
      <c r="B7" s="21">
        <v>5</v>
      </c>
      <c r="C7" s="128">
        <v>390859.13312499999</v>
      </c>
      <c r="D7" s="128">
        <v>309202</v>
      </c>
      <c r="E7" s="90" t="s">
        <v>43</v>
      </c>
      <c r="F7" s="90" t="s">
        <v>45</v>
      </c>
      <c r="G7" s="90" t="s">
        <v>46</v>
      </c>
      <c r="H7" s="90" t="s">
        <v>44</v>
      </c>
      <c r="I7" s="90" t="s">
        <v>48</v>
      </c>
      <c r="J7" s="90" t="s">
        <v>49</v>
      </c>
      <c r="K7" s="90" t="s">
        <v>47</v>
      </c>
      <c r="L7" s="90" t="s">
        <v>50</v>
      </c>
      <c r="M7" s="90" t="s">
        <v>224</v>
      </c>
      <c r="N7" s="90" t="s">
        <v>224</v>
      </c>
      <c r="O7" s="90" t="s">
        <v>224</v>
      </c>
      <c r="P7" s="90" t="s">
        <v>224</v>
      </c>
      <c r="Q7" s="90" t="s">
        <v>224</v>
      </c>
      <c r="R7" s="90" t="s">
        <v>224</v>
      </c>
      <c r="S7" s="90" t="s">
        <v>224</v>
      </c>
      <c r="T7" s="90" t="s">
        <v>224</v>
      </c>
      <c r="U7" s="90" t="s">
        <v>224</v>
      </c>
      <c r="V7" s="90" t="s">
        <v>224</v>
      </c>
      <c r="W7" s="128" t="s">
        <v>224</v>
      </c>
      <c r="X7" s="90" t="s">
        <v>224</v>
      </c>
    </row>
    <row r="8" spans="1:24" x14ac:dyDescent="0.15">
      <c r="B8" s="21">
        <v>6</v>
      </c>
      <c r="C8" s="128">
        <v>394228.47562500002</v>
      </c>
      <c r="D8" s="128">
        <v>309202</v>
      </c>
      <c r="E8" s="90" t="s">
        <v>43</v>
      </c>
      <c r="F8" s="90" t="s">
        <v>45</v>
      </c>
      <c r="G8" s="90" t="s">
        <v>46</v>
      </c>
      <c r="H8" s="90" t="s">
        <v>44</v>
      </c>
      <c r="I8" s="90" t="s">
        <v>48</v>
      </c>
      <c r="J8" s="90" t="s">
        <v>49</v>
      </c>
      <c r="K8" s="90" t="s">
        <v>47</v>
      </c>
      <c r="L8" s="90" t="s">
        <v>50</v>
      </c>
      <c r="M8" s="90" t="s">
        <v>224</v>
      </c>
      <c r="N8" s="90" t="s">
        <v>224</v>
      </c>
      <c r="O8" s="90" t="s">
        <v>224</v>
      </c>
      <c r="P8" s="90" t="s">
        <v>224</v>
      </c>
      <c r="Q8" s="90" t="s">
        <v>224</v>
      </c>
      <c r="R8" s="90" t="s">
        <v>224</v>
      </c>
      <c r="S8" s="90" t="s">
        <v>224</v>
      </c>
      <c r="T8" s="90" t="s">
        <v>224</v>
      </c>
      <c r="U8" s="90" t="s">
        <v>224</v>
      </c>
      <c r="V8" s="90" t="s">
        <v>224</v>
      </c>
      <c r="W8" s="128" t="s">
        <v>224</v>
      </c>
      <c r="X8" s="90" t="s">
        <v>224</v>
      </c>
    </row>
    <row r="9" spans="1:24" x14ac:dyDescent="0.15">
      <c r="B9" s="21">
        <v>7</v>
      </c>
      <c r="C9" s="128">
        <v>367712.74125000002</v>
      </c>
      <c r="D9" s="128">
        <v>309202</v>
      </c>
      <c r="E9" s="90" t="s">
        <v>43</v>
      </c>
      <c r="F9" s="90" t="s">
        <v>45</v>
      </c>
      <c r="G9" s="90" t="s">
        <v>46</v>
      </c>
      <c r="H9" s="90" t="s">
        <v>44</v>
      </c>
      <c r="I9" s="90" t="s">
        <v>48</v>
      </c>
      <c r="J9" s="90" t="s">
        <v>49</v>
      </c>
      <c r="K9" s="90" t="s">
        <v>47</v>
      </c>
      <c r="L9" s="90" t="s">
        <v>50</v>
      </c>
      <c r="M9" s="90" t="s">
        <v>224</v>
      </c>
      <c r="N9" s="90" t="s">
        <v>224</v>
      </c>
      <c r="O9" s="90" t="s">
        <v>224</v>
      </c>
      <c r="P9" s="90" t="s">
        <v>224</v>
      </c>
      <c r="Q9" s="90" t="s">
        <v>224</v>
      </c>
      <c r="R9" s="90" t="s">
        <v>224</v>
      </c>
      <c r="S9" s="90" t="s">
        <v>224</v>
      </c>
      <c r="T9" s="90" t="s">
        <v>224</v>
      </c>
      <c r="U9" s="90" t="s">
        <v>224</v>
      </c>
      <c r="V9" s="90" t="s">
        <v>224</v>
      </c>
      <c r="W9" s="128" t="s">
        <v>224</v>
      </c>
      <c r="X9" s="90" t="s">
        <v>224</v>
      </c>
    </row>
    <row r="10" spans="1:24" x14ac:dyDescent="0.15">
      <c r="B10" s="21">
        <v>8</v>
      </c>
      <c r="C10" s="128">
        <v>325371.80312499998</v>
      </c>
      <c r="D10" s="128">
        <v>309202</v>
      </c>
      <c r="E10" s="90" t="s">
        <v>43</v>
      </c>
      <c r="F10" s="90" t="s">
        <v>45</v>
      </c>
      <c r="G10" s="90" t="s">
        <v>46</v>
      </c>
      <c r="H10" s="90" t="s">
        <v>44</v>
      </c>
      <c r="I10" s="90" t="s">
        <v>48</v>
      </c>
      <c r="J10" s="90" t="s">
        <v>49</v>
      </c>
      <c r="K10" s="90" t="s">
        <v>47</v>
      </c>
      <c r="L10" s="90" t="s">
        <v>50</v>
      </c>
      <c r="M10" s="90" t="s">
        <v>224</v>
      </c>
      <c r="N10" s="90" t="s">
        <v>224</v>
      </c>
      <c r="O10" s="90" t="s">
        <v>224</v>
      </c>
      <c r="P10" s="90" t="s">
        <v>224</v>
      </c>
      <c r="Q10" s="90" t="s">
        <v>224</v>
      </c>
      <c r="R10" s="90" t="s">
        <v>224</v>
      </c>
      <c r="S10" s="90" t="s">
        <v>224</v>
      </c>
      <c r="T10" s="90" t="s">
        <v>224</v>
      </c>
      <c r="U10" s="90" t="s">
        <v>224</v>
      </c>
      <c r="V10" s="90" t="s">
        <v>224</v>
      </c>
      <c r="W10" s="128" t="s">
        <v>224</v>
      </c>
      <c r="X10" s="90" t="s">
        <v>224</v>
      </c>
    </row>
    <row r="11" spans="1:24" x14ac:dyDescent="0.15">
      <c r="B11" s="21">
        <v>9</v>
      </c>
      <c r="C11" s="128">
        <v>311864.19</v>
      </c>
      <c r="D11" s="128">
        <v>309202</v>
      </c>
      <c r="E11" s="90" t="s">
        <v>43</v>
      </c>
      <c r="F11" s="90" t="s">
        <v>45</v>
      </c>
      <c r="G11" s="90" t="s">
        <v>46</v>
      </c>
      <c r="H11" s="90" t="s">
        <v>44</v>
      </c>
      <c r="I11" s="90" t="s">
        <v>48</v>
      </c>
      <c r="J11" s="90" t="s">
        <v>49</v>
      </c>
      <c r="K11" s="90" t="s">
        <v>47</v>
      </c>
      <c r="L11" s="90" t="s">
        <v>50</v>
      </c>
      <c r="M11" s="90" t="s">
        <v>224</v>
      </c>
      <c r="N11" s="90" t="s">
        <v>224</v>
      </c>
      <c r="O11" s="90" t="s">
        <v>224</v>
      </c>
      <c r="P11" s="90" t="s">
        <v>224</v>
      </c>
      <c r="Q11" s="90" t="s">
        <v>224</v>
      </c>
      <c r="R11" s="90" t="s">
        <v>224</v>
      </c>
      <c r="S11" s="90" t="s">
        <v>224</v>
      </c>
      <c r="T11" s="90" t="s">
        <v>224</v>
      </c>
      <c r="U11" s="90" t="s">
        <v>224</v>
      </c>
      <c r="V11" s="90" t="s">
        <v>224</v>
      </c>
      <c r="W11" s="128" t="s">
        <v>224</v>
      </c>
      <c r="X11" s="90" t="s">
        <v>224</v>
      </c>
    </row>
    <row r="12" spans="1:24" x14ac:dyDescent="0.15">
      <c r="B12" s="21">
        <v>10</v>
      </c>
      <c r="C12" s="128">
        <v>309424.59999999998</v>
      </c>
      <c r="D12" s="128">
        <v>309202</v>
      </c>
      <c r="E12" s="90" t="s">
        <v>43</v>
      </c>
      <c r="F12" s="90" t="s">
        <v>45</v>
      </c>
      <c r="G12" s="90" t="s">
        <v>46</v>
      </c>
      <c r="H12" s="90" t="s">
        <v>44</v>
      </c>
      <c r="I12" s="90" t="s">
        <v>48</v>
      </c>
      <c r="J12" s="90" t="s">
        <v>49</v>
      </c>
      <c r="K12" s="90" t="s">
        <v>47</v>
      </c>
      <c r="L12" s="90" t="s">
        <v>50</v>
      </c>
      <c r="M12" s="90" t="s">
        <v>224</v>
      </c>
      <c r="N12" s="90" t="s">
        <v>224</v>
      </c>
      <c r="O12" s="90" t="s">
        <v>224</v>
      </c>
      <c r="P12" s="90" t="s">
        <v>224</v>
      </c>
      <c r="Q12" s="90" t="s">
        <v>224</v>
      </c>
      <c r="R12" s="90" t="s">
        <v>224</v>
      </c>
      <c r="S12" s="90" t="s">
        <v>224</v>
      </c>
      <c r="T12" s="90" t="s">
        <v>224</v>
      </c>
      <c r="U12" s="90" t="s">
        <v>224</v>
      </c>
      <c r="V12" s="90" t="s">
        <v>224</v>
      </c>
      <c r="W12" s="128" t="s">
        <v>224</v>
      </c>
      <c r="X12" s="90" t="s">
        <v>224</v>
      </c>
    </row>
    <row r="13" spans="1:24" x14ac:dyDescent="0.15">
      <c r="B13" s="21">
        <v>11</v>
      </c>
      <c r="C13" s="128">
        <v>309202</v>
      </c>
      <c r="D13" s="128">
        <v>309202</v>
      </c>
      <c r="E13" s="90" t="s">
        <v>43</v>
      </c>
      <c r="F13" s="90" t="s">
        <v>45</v>
      </c>
      <c r="G13" s="90" t="s">
        <v>46</v>
      </c>
      <c r="H13" s="90" t="s">
        <v>44</v>
      </c>
      <c r="I13" s="90" t="s">
        <v>48</v>
      </c>
      <c r="J13" s="90" t="s">
        <v>49</v>
      </c>
      <c r="K13" s="90" t="s">
        <v>47</v>
      </c>
      <c r="L13" s="90" t="s">
        <v>50</v>
      </c>
      <c r="M13" s="90" t="s">
        <v>224</v>
      </c>
      <c r="N13" s="90" t="s">
        <v>224</v>
      </c>
      <c r="O13" s="90" t="s">
        <v>224</v>
      </c>
      <c r="P13" s="90" t="s">
        <v>224</v>
      </c>
      <c r="Q13" s="90" t="s">
        <v>224</v>
      </c>
      <c r="R13" s="90" t="s">
        <v>224</v>
      </c>
      <c r="S13" s="90" t="s">
        <v>224</v>
      </c>
      <c r="T13" s="90" t="s">
        <v>224</v>
      </c>
      <c r="U13" s="90" t="s">
        <v>224</v>
      </c>
      <c r="V13" s="90" t="s">
        <v>224</v>
      </c>
      <c r="W13" s="128" t="s">
        <v>224</v>
      </c>
      <c r="X13" s="90" t="s">
        <v>224</v>
      </c>
    </row>
    <row r="14" spans="1:24" x14ac:dyDescent="0.15">
      <c r="B14" s="21">
        <v>12</v>
      </c>
      <c r="C14" s="128">
        <v>309202</v>
      </c>
      <c r="D14" s="128">
        <v>309202</v>
      </c>
      <c r="E14" s="90" t="s">
        <v>43</v>
      </c>
      <c r="F14" s="90" t="s">
        <v>45</v>
      </c>
      <c r="G14" s="90" t="s">
        <v>46</v>
      </c>
      <c r="H14" s="90" t="s">
        <v>44</v>
      </c>
      <c r="I14" s="90" t="s">
        <v>48</v>
      </c>
      <c r="J14" s="90" t="s">
        <v>49</v>
      </c>
      <c r="K14" s="90" t="s">
        <v>47</v>
      </c>
      <c r="L14" s="90" t="s">
        <v>50</v>
      </c>
      <c r="M14" s="90" t="s">
        <v>224</v>
      </c>
      <c r="N14" s="90" t="s">
        <v>224</v>
      </c>
      <c r="O14" s="90" t="s">
        <v>224</v>
      </c>
      <c r="P14" s="90" t="s">
        <v>224</v>
      </c>
      <c r="Q14" s="90" t="s">
        <v>224</v>
      </c>
      <c r="R14" s="90" t="s">
        <v>224</v>
      </c>
      <c r="S14" s="90" t="s">
        <v>224</v>
      </c>
      <c r="T14" s="90" t="s">
        <v>224</v>
      </c>
      <c r="U14" s="90" t="s">
        <v>224</v>
      </c>
      <c r="V14" s="90" t="s">
        <v>224</v>
      </c>
      <c r="W14" s="128" t="s">
        <v>224</v>
      </c>
      <c r="X14" s="90" t="s">
        <v>224</v>
      </c>
    </row>
    <row r="15" spans="1:24" x14ac:dyDescent="0.15">
      <c r="B15" s="21">
        <v>13</v>
      </c>
      <c r="C15" s="128">
        <v>309202</v>
      </c>
      <c r="D15" s="128">
        <v>309202</v>
      </c>
      <c r="E15" s="90" t="s">
        <v>43</v>
      </c>
      <c r="F15" s="90" t="s">
        <v>45</v>
      </c>
      <c r="G15" s="90" t="s">
        <v>46</v>
      </c>
      <c r="H15" s="90" t="s">
        <v>44</v>
      </c>
      <c r="I15" s="90" t="s">
        <v>48</v>
      </c>
      <c r="J15" s="90" t="s">
        <v>49</v>
      </c>
      <c r="K15" s="90" t="s">
        <v>47</v>
      </c>
      <c r="L15" s="90" t="s">
        <v>50</v>
      </c>
      <c r="M15" s="90" t="s">
        <v>224</v>
      </c>
      <c r="N15" s="90" t="s">
        <v>224</v>
      </c>
      <c r="O15" s="90" t="s">
        <v>224</v>
      </c>
      <c r="P15" s="90" t="s">
        <v>224</v>
      </c>
      <c r="Q15" s="90" t="s">
        <v>224</v>
      </c>
      <c r="R15" s="90" t="s">
        <v>224</v>
      </c>
      <c r="S15" s="90" t="s">
        <v>224</v>
      </c>
      <c r="T15" s="90" t="s">
        <v>224</v>
      </c>
      <c r="U15" s="90" t="s">
        <v>224</v>
      </c>
      <c r="V15" s="90" t="s">
        <v>224</v>
      </c>
      <c r="W15" s="128" t="s">
        <v>224</v>
      </c>
      <c r="X15" s="90" t="s">
        <v>224</v>
      </c>
    </row>
    <row r="16" spans="1:24" x14ac:dyDescent="0.15">
      <c r="B16" s="21">
        <v>14</v>
      </c>
      <c r="C16" s="128">
        <v>309202</v>
      </c>
      <c r="D16" s="128">
        <v>309202</v>
      </c>
      <c r="E16" s="90" t="s">
        <v>43</v>
      </c>
      <c r="F16" s="90" t="s">
        <v>45</v>
      </c>
      <c r="G16" s="90" t="s">
        <v>46</v>
      </c>
      <c r="H16" s="90" t="s">
        <v>44</v>
      </c>
      <c r="I16" s="90" t="s">
        <v>48</v>
      </c>
      <c r="J16" s="90" t="s">
        <v>49</v>
      </c>
      <c r="K16" s="90" t="s">
        <v>47</v>
      </c>
      <c r="L16" s="90" t="s">
        <v>50</v>
      </c>
      <c r="M16" s="90" t="s">
        <v>224</v>
      </c>
      <c r="N16" s="90" t="s">
        <v>224</v>
      </c>
      <c r="O16" s="90" t="s">
        <v>224</v>
      </c>
      <c r="P16" s="90" t="s">
        <v>224</v>
      </c>
      <c r="Q16" s="90" t="s">
        <v>224</v>
      </c>
      <c r="R16" s="90" t="s">
        <v>224</v>
      </c>
      <c r="S16" s="90" t="s">
        <v>224</v>
      </c>
      <c r="T16" s="90" t="s">
        <v>224</v>
      </c>
      <c r="U16" s="90" t="s">
        <v>224</v>
      </c>
      <c r="V16" s="90" t="s">
        <v>224</v>
      </c>
      <c r="W16" s="128" t="s">
        <v>224</v>
      </c>
      <c r="X16" s="90" t="s">
        <v>224</v>
      </c>
    </row>
    <row r="17" spans="2:24" x14ac:dyDescent="0.15">
      <c r="B17" s="21">
        <v>15</v>
      </c>
      <c r="C17" s="128">
        <v>309202</v>
      </c>
      <c r="D17" s="128">
        <v>309202</v>
      </c>
      <c r="E17" s="90" t="s">
        <v>43</v>
      </c>
      <c r="F17" s="90" t="s">
        <v>45</v>
      </c>
      <c r="G17" s="90" t="s">
        <v>46</v>
      </c>
      <c r="H17" s="90" t="s">
        <v>44</v>
      </c>
      <c r="I17" s="90" t="s">
        <v>48</v>
      </c>
      <c r="J17" s="90" t="s">
        <v>49</v>
      </c>
      <c r="K17" s="90" t="s">
        <v>47</v>
      </c>
      <c r="L17" s="90" t="s">
        <v>50</v>
      </c>
      <c r="M17" s="90" t="s">
        <v>224</v>
      </c>
      <c r="N17" s="90" t="s">
        <v>224</v>
      </c>
      <c r="O17" s="90" t="s">
        <v>224</v>
      </c>
      <c r="P17" s="90" t="s">
        <v>224</v>
      </c>
      <c r="Q17" s="90" t="s">
        <v>224</v>
      </c>
      <c r="R17" s="90" t="s">
        <v>224</v>
      </c>
      <c r="S17" s="90" t="s">
        <v>224</v>
      </c>
      <c r="T17" s="90" t="s">
        <v>224</v>
      </c>
      <c r="U17" s="90" t="s">
        <v>224</v>
      </c>
      <c r="V17" s="90" t="s">
        <v>224</v>
      </c>
      <c r="W17" s="128" t="s">
        <v>224</v>
      </c>
      <c r="X17" s="90" t="s">
        <v>224</v>
      </c>
    </row>
    <row r="18" spans="2:24" x14ac:dyDescent="0.15">
      <c r="B18" s="21">
        <v>16</v>
      </c>
      <c r="C18" s="128">
        <v>309202</v>
      </c>
      <c r="D18" s="128">
        <v>309202</v>
      </c>
      <c r="E18" s="90" t="s">
        <v>43</v>
      </c>
      <c r="F18" s="90" t="s">
        <v>45</v>
      </c>
      <c r="G18" s="90" t="s">
        <v>46</v>
      </c>
      <c r="H18" s="90" t="s">
        <v>44</v>
      </c>
      <c r="I18" s="90" t="s">
        <v>48</v>
      </c>
      <c r="J18" s="90" t="s">
        <v>49</v>
      </c>
      <c r="K18" s="90" t="s">
        <v>47</v>
      </c>
      <c r="L18" s="90" t="s">
        <v>50</v>
      </c>
      <c r="M18" s="90" t="s">
        <v>224</v>
      </c>
      <c r="N18" s="90" t="s">
        <v>224</v>
      </c>
      <c r="O18" s="90" t="s">
        <v>224</v>
      </c>
      <c r="P18" s="90" t="s">
        <v>224</v>
      </c>
      <c r="Q18" s="90" t="s">
        <v>224</v>
      </c>
      <c r="R18" s="90" t="s">
        <v>224</v>
      </c>
      <c r="S18" s="90" t="s">
        <v>224</v>
      </c>
      <c r="T18" s="90" t="s">
        <v>224</v>
      </c>
      <c r="U18" s="90" t="s">
        <v>224</v>
      </c>
      <c r="V18" s="90" t="s">
        <v>224</v>
      </c>
      <c r="W18" s="128" t="s">
        <v>224</v>
      </c>
      <c r="X18" s="90" t="s">
        <v>224</v>
      </c>
    </row>
    <row r="19" spans="2:24" x14ac:dyDescent="0.15">
      <c r="B19" s="21">
        <v>17</v>
      </c>
      <c r="C19" s="128">
        <v>309202</v>
      </c>
      <c r="D19" s="128">
        <v>309202</v>
      </c>
      <c r="E19" s="90" t="s">
        <v>43</v>
      </c>
      <c r="F19" s="90" t="s">
        <v>45</v>
      </c>
      <c r="G19" s="90" t="s">
        <v>46</v>
      </c>
      <c r="H19" s="90" t="s">
        <v>44</v>
      </c>
      <c r="I19" s="90" t="s">
        <v>48</v>
      </c>
      <c r="J19" s="90" t="s">
        <v>49</v>
      </c>
      <c r="K19" s="90" t="s">
        <v>47</v>
      </c>
      <c r="L19" s="90" t="s">
        <v>50</v>
      </c>
      <c r="M19" s="90" t="s">
        <v>224</v>
      </c>
      <c r="N19" s="90" t="s">
        <v>224</v>
      </c>
      <c r="O19" s="90" t="s">
        <v>224</v>
      </c>
      <c r="P19" s="90" t="s">
        <v>224</v>
      </c>
      <c r="Q19" s="90" t="s">
        <v>224</v>
      </c>
      <c r="R19" s="90" t="s">
        <v>224</v>
      </c>
      <c r="S19" s="90" t="s">
        <v>224</v>
      </c>
      <c r="T19" s="90" t="s">
        <v>224</v>
      </c>
      <c r="U19" s="90" t="s">
        <v>224</v>
      </c>
      <c r="V19" s="90" t="s">
        <v>224</v>
      </c>
      <c r="W19" s="128" t="s">
        <v>224</v>
      </c>
      <c r="X19" s="90" t="s">
        <v>224</v>
      </c>
    </row>
    <row r="20" spans="2:24" x14ac:dyDescent="0.15">
      <c r="B20" s="21">
        <v>18</v>
      </c>
      <c r="C20" s="128">
        <v>309202</v>
      </c>
      <c r="D20" s="128">
        <v>309202</v>
      </c>
      <c r="E20" s="90" t="s">
        <v>43</v>
      </c>
      <c r="F20" s="90" t="s">
        <v>45</v>
      </c>
      <c r="G20" s="90" t="s">
        <v>46</v>
      </c>
      <c r="H20" s="90" t="s">
        <v>44</v>
      </c>
      <c r="I20" s="90" t="s">
        <v>48</v>
      </c>
      <c r="J20" s="90" t="s">
        <v>49</v>
      </c>
      <c r="K20" s="90" t="s">
        <v>47</v>
      </c>
      <c r="L20" s="90" t="s">
        <v>50</v>
      </c>
      <c r="M20" s="90" t="s">
        <v>224</v>
      </c>
      <c r="N20" s="90" t="s">
        <v>224</v>
      </c>
      <c r="O20" s="90" t="s">
        <v>224</v>
      </c>
      <c r="P20" s="90" t="s">
        <v>224</v>
      </c>
      <c r="Q20" s="90" t="s">
        <v>224</v>
      </c>
      <c r="R20" s="90" t="s">
        <v>224</v>
      </c>
      <c r="S20" s="90" t="s">
        <v>224</v>
      </c>
      <c r="T20" s="90" t="s">
        <v>224</v>
      </c>
      <c r="U20" s="90" t="s">
        <v>224</v>
      </c>
      <c r="V20" s="90" t="s">
        <v>224</v>
      </c>
      <c r="W20" s="128" t="s">
        <v>224</v>
      </c>
      <c r="X20" s="90" t="s">
        <v>224</v>
      </c>
    </row>
    <row r="21" spans="2:24" x14ac:dyDescent="0.15">
      <c r="B21" s="21">
        <v>19</v>
      </c>
      <c r="C21" s="128">
        <v>309202</v>
      </c>
      <c r="D21" s="128">
        <v>309202</v>
      </c>
      <c r="E21" s="90" t="s">
        <v>43</v>
      </c>
      <c r="F21" s="90" t="s">
        <v>45</v>
      </c>
      <c r="G21" s="90" t="s">
        <v>46</v>
      </c>
      <c r="H21" s="90" t="s">
        <v>44</v>
      </c>
      <c r="I21" s="90" t="s">
        <v>48</v>
      </c>
      <c r="J21" s="90" t="s">
        <v>49</v>
      </c>
      <c r="K21" s="90" t="s">
        <v>47</v>
      </c>
      <c r="L21" s="90" t="s">
        <v>50</v>
      </c>
      <c r="M21" s="90" t="s">
        <v>224</v>
      </c>
      <c r="N21" s="90" t="s">
        <v>224</v>
      </c>
      <c r="O21" s="90" t="s">
        <v>224</v>
      </c>
      <c r="P21" s="90" t="s">
        <v>224</v>
      </c>
      <c r="Q21" s="90" t="s">
        <v>224</v>
      </c>
      <c r="R21" s="90" t="s">
        <v>224</v>
      </c>
      <c r="S21" s="90" t="s">
        <v>224</v>
      </c>
      <c r="T21" s="90" t="s">
        <v>224</v>
      </c>
      <c r="U21" s="90" t="s">
        <v>224</v>
      </c>
      <c r="V21" s="90" t="s">
        <v>224</v>
      </c>
      <c r="W21" s="128" t="s">
        <v>224</v>
      </c>
      <c r="X21" s="90" t="s">
        <v>224</v>
      </c>
    </row>
    <row r="22" spans="2:24" x14ac:dyDescent="0.15">
      <c r="B22" s="21">
        <v>20</v>
      </c>
      <c r="C22" s="128">
        <v>309202</v>
      </c>
      <c r="D22" s="128">
        <v>309202</v>
      </c>
      <c r="E22" s="90" t="s">
        <v>43</v>
      </c>
      <c r="F22" s="90" t="s">
        <v>45</v>
      </c>
      <c r="G22" s="90" t="s">
        <v>46</v>
      </c>
      <c r="H22" s="90" t="s">
        <v>44</v>
      </c>
      <c r="I22" s="90" t="s">
        <v>48</v>
      </c>
      <c r="J22" s="90" t="s">
        <v>49</v>
      </c>
      <c r="K22" s="90" t="s">
        <v>47</v>
      </c>
      <c r="L22" s="90" t="s">
        <v>50</v>
      </c>
      <c r="M22" s="90" t="s">
        <v>224</v>
      </c>
      <c r="N22" s="90" t="s">
        <v>224</v>
      </c>
      <c r="O22" s="90" t="s">
        <v>224</v>
      </c>
      <c r="P22" s="90" t="s">
        <v>224</v>
      </c>
      <c r="Q22" s="90" t="s">
        <v>224</v>
      </c>
      <c r="R22" s="90" t="s">
        <v>224</v>
      </c>
      <c r="S22" s="90" t="s">
        <v>224</v>
      </c>
      <c r="T22" s="90" t="s">
        <v>224</v>
      </c>
      <c r="U22" s="90" t="s">
        <v>224</v>
      </c>
      <c r="V22" s="90" t="s">
        <v>224</v>
      </c>
      <c r="W22" s="128" t="s">
        <v>224</v>
      </c>
      <c r="X22" s="90" t="s">
        <v>224</v>
      </c>
    </row>
    <row r="23" spans="2:24" x14ac:dyDescent="0.15">
      <c r="B23" s="21">
        <v>21</v>
      </c>
    </row>
    <row r="24" spans="2:24" x14ac:dyDescent="0.15">
      <c r="B24" s="21">
        <v>22</v>
      </c>
    </row>
    <row r="25" spans="2:24" x14ac:dyDescent="0.15">
      <c r="B25" s="21">
        <v>23</v>
      </c>
    </row>
    <row r="26" spans="2:24" x14ac:dyDescent="0.15">
      <c r="B26" s="21">
        <v>24</v>
      </c>
    </row>
    <row r="27" spans="2:24" x14ac:dyDescent="0.15">
      <c r="B27" s="21">
        <v>25</v>
      </c>
    </row>
    <row r="28" spans="2:24" x14ac:dyDescent="0.15">
      <c r="B28" s="21">
        <v>26</v>
      </c>
    </row>
    <row r="29" spans="2:24" x14ac:dyDescent="0.15">
      <c r="B29" s="21">
        <v>27</v>
      </c>
    </row>
    <row r="30" spans="2:24" x14ac:dyDescent="0.15">
      <c r="B30" s="21">
        <v>28</v>
      </c>
    </row>
    <row r="31" spans="2:24" x14ac:dyDescent="0.15">
      <c r="B31" s="21">
        <v>29</v>
      </c>
    </row>
    <row r="32" spans="2:24" x14ac:dyDescent="0.15">
      <c r="B32" s="21">
        <v>30</v>
      </c>
    </row>
    <row r="33" spans="2:2" x14ac:dyDescent="0.15">
      <c r="B33" s="21">
        <v>31</v>
      </c>
    </row>
    <row r="34" spans="2:2" x14ac:dyDescent="0.15">
      <c r="B34" s="21">
        <v>32</v>
      </c>
    </row>
    <row r="35" spans="2:2" x14ac:dyDescent="0.15">
      <c r="B35" s="21">
        <v>33</v>
      </c>
    </row>
    <row r="36" spans="2:2" x14ac:dyDescent="0.15">
      <c r="B36" s="21">
        <v>34</v>
      </c>
    </row>
    <row r="37" spans="2:2" x14ac:dyDescent="0.15">
      <c r="B37" s="21">
        <v>35</v>
      </c>
    </row>
    <row r="38" spans="2:2" x14ac:dyDescent="0.15">
      <c r="B38" s="21">
        <v>36</v>
      </c>
    </row>
    <row r="39" spans="2:2" x14ac:dyDescent="0.15">
      <c r="B39" s="21">
        <v>37</v>
      </c>
    </row>
    <row r="40" spans="2:2" x14ac:dyDescent="0.15">
      <c r="B40" s="21">
        <v>38</v>
      </c>
    </row>
    <row r="41" spans="2:2" x14ac:dyDescent="0.15">
      <c r="B41" s="21">
        <v>39</v>
      </c>
    </row>
    <row r="42" spans="2:2" x14ac:dyDescent="0.15">
      <c r="B42" s="21">
        <v>40</v>
      </c>
    </row>
    <row r="43" spans="2:2" x14ac:dyDescent="0.15">
      <c r="B43" s="21">
        <v>41</v>
      </c>
    </row>
    <row r="44" spans="2:2" x14ac:dyDescent="0.15">
      <c r="B44" s="21">
        <v>42</v>
      </c>
    </row>
    <row r="45" spans="2:2" x14ac:dyDescent="0.15">
      <c r="B45" s="21">
        <v>43</v>
      </c>
    </row>
    <row r="46" spans="2:2" x14ac:dyDescent="0.15">
      <c r="B46" s="21">
        <v>44</v>
      </c>
    </row>
    <row r="47" spans="2:2" x14ac:dyDescent="0.15">
      <c r="B47" s="21">
        <v>45</v>
      </c>
    </row>
    <row r="48" spans="2:2" x14ac:dyDescent="0.15">
      <c r="B48" s="21">
        <v>46</v>
      </c>
    </row>
    <row r="49" spans="2:2" x14ac:dyDescent="0.15">
      <c r="B49" s="21">
        <v>47</v>
      </c>
    </row>
    <row r="50" spans="2:2" x14ac:dyDescent="0.15">
      <c r="B50" s="21">
        <v>48</v>
      </c>
    </row>
    <row r="51" spans="2:2" x14ac:dyDescent="0.15">
      <c r="B51" s="21">
        <v>49</v>
      </c>
    </row>
    <row r="52" spans="2:2" x14ac:dyDescent="0.15">
      <c r="B52" s="21">
        <v>50</v>
      </c>
    </row>
    <row r="53" spans="2:2" x14ac:dyDescent="0.15">
      <c r="B53" s="21">
        <v>51</v>
      </c>
    </row>
    <row r="54" spans="2:2" x14ac:dyDescent="0.15">
      <c r="B54" s="21">
        <v>52</v>
      </c>
    </row>
    <row r="55" spans="2:2" x14ac:dyDescent="0.15">
      <c r="B55" s="21">
        <v>53</v>
      </c>
    </row>
    <row r="56" spans="2:2" x14ac:dyDescent="0.15">
      <c r="B56" s="21">
        <v>54</v>
      </c>
    </row>
    <row r="57" spans="2:2" x14ac:dyDescent="0.15">
      <c r="B57" s="21">
        <v>55</v>
      </c>
    </row>
    <row r="58" spans="2:2" x14ac:dyDescent="0.15">
      <c r="B58" s="21">
        <v>56</v>
      </c>
    </row>
    <row r="59" spans="2:2" x14ac:dyDescent="0.15">
      <c r="B59" s="21">
        <v>57</v>
      </c>
    </row>
    <row r="60" spans="2:2" x14ac:dyDescent="0.15">
      <c r="B60" s="21">
        <v>58</v>
      </c>
    </row>
    <row r="61" spans="2:2" x14ac:dyDescent="0.15">
      <c r="B61" s="21">
        <v>59</v>
      </c>
    </row>
    <row r="62" spans="2:2" x14ac:dyDescent="0.15">
      <c r="B62" s="21">
        <v>60</v>
      </c>
    </row>
    <row r="63" spans="2:2" x14ac:dyDescent="0.15">
      <c r="B63" s="21">
        <v>61</v>
      </c>
    </row>
    <row r="64" spans="2:2" x14ac:dyDescent="0.15">
      <c r="B64" s="21">
        <v>62</v>
      </c>
    </row>
    <row r="65" spans="2:2" x14ac:dyDescent="0.15">
      <c r="B65" s="21">
        <v>63</v>
      </c>
    </row>
    <row r="66" spans="2:2" x14ac:dyDescent="0.15">
      <c r="B66" s="21">
        <v>64</v>
      </c>
    </row>
    <row r="67" spans="2:2" x14ac:dyDescent="0.15">
      <c r="B67" s="21">
        <v>65</v>
      </c>
    </row>
    <row r="68" spans="2:2" x14ac:dyDescent="0.15">
      <c r="B68" s="21">
        <v>66</v>
      </c>
    </row>
    <row r="69" spans="2:2" x14ac:dyDescent="0.15">
      <c r="B69" s="21">
        <v>67</v>
      </c>
    </row>
    <row r="70" spans="2:2" x14ac:dyDescent="0.15">
      <c r="B70" s="21">
        <v>68</v>
      </c>
    </row>
    <row r="71" spans="2:2" x14ac:dyDescent="0.15">
      <c r="B71" s="21">
        <v>69</v>
      </c>
    </row>
    <row r="72" spans="2:2" x14ac:dyDescent="0.15">
      <c r="B72" s="21">
        <v>70</v>
      </c>
    </row>
    <row r="73" spans="2:2" x14ac:dyDescent="0.15">
      <c r="B73" s="21">
        <v>71</v>
      </c>
    </row>
    <row r="74" spans="2:2" x14ac:dyDescent="0.15">
      <c r="B74" s="21">
        <v>72</v>
      </c>
    </row>
    <row r="75" spans="2:2" x14ac:dyDescent="0.15">
      <c r="B75" s="21">
        <v>73</v>
      </c>
    </row>
    <row r="76" spans="2:2" x14ac:dyDescent="0.15">
      <c r="B76" s="21">
        <v>74</v>
      </c>
    </row>
    <row r="77" spans="2:2" x14ac:dyDescent="0.15">
      <c r="B77" s="21">
        <v>75</v>
      </c>
    </row>
    <row r="78" spans="2:2" x14ac:dyDescent="0.15">
      <c r="B78" s="21">
        <v>76</v>
      </c>
    </row>
    <row r="79" spans="2:2" x14ac:dyDescent="0.15">
      <c r="B79" s="21">
        <v>77</v>
      </c>
    </row>
    <row r="80" spans="2:2" x14ac:dyDescent="0.15">
      <c r="B80" s="21">
        <v>78</v>
      </c>
    </row>
    <row r="81" spans="2:2" x14ac:dyDescent="0.15">
      <c r="B81" s="21">
        <v>79</v>
      </c>
    </row>
    <row r="82" spans="2:2" x14ac:dyDescent="0.15">
      <c r="B82" s="21">
        <v>80</v>
      </c>
    </row>
    <row r="83" spans="2:2" x14ac:dyDescent="0.15">
      <c r="B83" s="21">
        <v>81</v>
      </c>
    </row>
    <row r="84" spans="2:2" x14ac:dyDescent="0.15">
      <c r="B84" s="21">
        <v>82</v>
      </c>
    </row>
    <row r="85" spans="2:2" x14ac:dyDescent="0.15">
      <c r="B85" s="21">
        <v>83</v>
      </c>
    </row>
    <row r="86" spans="2:2" x14ac:dyDescent="0.15">
      <c r="B86" s="21">
        <v>84</v>
      </c>
    </row>
    <row r="87" spans="2:2" x14ac:dyDescent="0.15">
      <c r="B87" s="21">
        <v>85</v>
      </c>
    </row>
    <row r="88" spans="2:2" x14ac:dyDescent="0.15">
      <c r="B88" s="21">
        <v>86</v>
      </c>
    </row>
    <row r="89" spans="2:2" x14ac:dyDescent="0.15">
      <c r="B89" s="21">
        <v>87</v>
      </c>
    </row>
    <row r="90" spans="2:2" x14ac:dyDescent="0.15">
      <c r="B90" s="21">
        <v>88</v>
      </c>
    </row>
    <row r="91" spans="2:2" x14ac:dyDescent="0.15">
      <c r="B91" s="21">
        <v>89</v>
      </c>
    </row>
    <row r="92" spans="2:2" x14ac:dyDescent="0.15">
      <c r="B92" s="21">
        <v>90</v>
      </c>
    </row>
    <row r="93" spans="2:2" x14ac:dyDescent="0.15">
      <c r="B93" s="21">
        <v>91</v>
      </c>
    </row>
    <row r="94" spans="2:2" x14ac:dyDescent="0.15">
      <c r="B94" s="21">
        <v>92</v>
      </c>
    </row>
    <row r="95" spans="2:2" x14ac:dyDescent="0.15">
      <c r="B95" s="21">
        <v>93</v>
      </c>
    </row>
    <row r="96" spans="2:2" x14ac:dyDescent="0.15">
      <c r="B96" s="21">
        <v>94</v>
      </c>
    </row>
    <row r="97" spans="2:2" x14ac:dyDescent="0.15">
      <c r="B97" s="21">
        <v>95</v>
      </c>
    </row>
    <row r="98" spans="2:2" x14ac:dyDescent="0.15">
      <c r="B98" s="21">
        <v>96</v>
      </c>
    </row>
    <row r="99" spans="2:2" x14ac:dyDescent="0.15">
      <c r="B99" s="21">
        <v>97</v>
      </c>
    </row>
    <row r="100" spans="2:2" x14ac:dyDescent="0.15">
      <c r="B100" s="21">
        <v>98</v>
      </c>
    </row>
    <row r="101" spans="2:2" x14ac:dyDescent="0.15">
      <c r="B101" s="21">
        <v>99</v>
      </c>
    </row>
    <row r="102" spans="2:2" x14ac:dyDescent="0.15">
      <c r="B102" s="21">
        <v>100</v>
      </c>
    </row>
    <row r="103" spans="2:2" x14ac:dyDescent="0.15">
      <c r="B103" s="21"/>
    </row>
    <row r="104" spans="2:2" x14ac:dyDescent="0.15">
      <c r="B104" s="21"/>
    </row>
    <row r="105" spans="2:2" x14ac:dyDescent="0.15">
      <c r="B105" s="21"/>
    </row>
    <row r="106" spans="2:2" x14ac:dyDescent="0.15">
      <c r="B106" s="21"/>
    </row>
    <row r="107" spans="2:2" x14ac:dyDescent="0.15">
      <c r="B107" s="21"/>
    </row>
    <row r="108" spans="2:2" x14ac:dyDescent="0.15">
      <c r="B108" s="21"/>
    </row>
    <row r="109" spans="2:2" x14ac:dyDescent="0.15">
      <c r="B109" s="21"/>
    </row>
    <row r="110" spans="2:2" x14ac:dyDescent="0.15">
      <c r="B110" s="21"/>
    </row>
    <row r="111" spans="2:2" x14ac:dyDescent="0.15">
      <c r="B111" s="21"/>
    </row>
    <row r="112" spans="2:2" x14ac:dyDescent="0.15">
      <c r="B112" s="21"/>
    </row>
    <row r="113" spans="2:2" x14ac:dyDescent="0.15">
      <c r="B113" s="21"/>
    </row>
    <row r="114" spans="2:2" x14ac:dyDescent="0.15">
      <c r="B114" s="21"/>
    </row>
    <row r="115" spans="2:2" x14ac:dyDescent="0.15">
      <c r="B115" s="21"/>
    </row>
    <row r="116" spans="2:2" x14ac:dyDescent="0.15">
      <c r="B116" s="21"/>
    </row>
    <row r="117" spans="2:2" x14ac:dyDescent="0.15">
      <c r="B117" s="21"/>
    </row>
    <row r="118" spans="2:2" x14ac:dyDescent="0.15">
      <c r="B118" s="21"/>
    </row>
    <row r="119" spans="2:2" x14ac:dyDescent="0.15">
      <c r="B119" s="21"/>
    </row>
    <row r="120" spans="2:2" x14ac:dyDescent="0.15">
      <c r="B120" s="21"/>
    </row>
    <row r="121" spans="2:2" x14ac:dyDescent="0.15">
      <c r="B121" s="21"/>
    </row>
    <row r="122" spans="2:2" x14ac:dyDescent="0.15">
      <c r="B122" s="21"/>
    </row>
    <row r="123" spans="2:2" x14ac:dyDescent="0.15">
      <c r="B123" s="21"/>
    </row>
    <row r="124" spans="2:2" x14ac:dyDescent="0.15">
      <c r="B124" s="21"/>
    </row>
    <row r="125" spans="2:2" x14ac:dyDescent="0.15">
      <c r="B125" s="21"/>
    </row>
    <row r="126" spans="2:2" x14ac:dyDescent="0.15">
      <c r="B126" s="21"/>
    </row>
    <row r="127" spans="2:2" x14ac:dyDescent="0.15">
      <c r="B127" s="21"/>
    </row>
    <row r="128" spans="2:2" x14ac:dyDescent="0.15">
      <c r="B128" s="21"/>
    </row>
    <row r="129" spans="2:2" x14ac:dyDescent="0.15">
      <c r="B129" s="21"/>
    </row>
    <row r="130" spans="2:2" x14ac:dyDescent="0.15">
      <c r="B130" s="21"/>
    </row>
    <row r="131" spans="2:2" x14ac:dyDescent="0.15">
      <c r="B131" s="21"/>
    </row>
    <row r="132" spans="2:2" x14ac:dyDescent="0.15">
      <c r="B132" s="21"/>
    </row>
    <row r="133" spans="2:2" x14ac:dyDescent="0.15">
      <c r="B133" s="21"/>
    </row>
    <row r="134" spans="2:2" x14ac:dyDescent="0.15">
      <c r="B134" s="21"/>
    </row>
    <row r="135" spans="2:2" x14ac:dyDescent="0.15">
      <c r="B135" s="21"/>
    </row>
    <row r="136" spans="2:2" x14ac:dyDescent="0.15">
      <c r="B136" s="21"/>
    </row>
    <row r="137" spans="2:2" x14ac:dyDescent="0.15">
      <c r="B137" s="21"/>
    </row>
    <row r="138" spans="2:2" x14ac:dyDescent="0.15">
      <c r="B138" s="21"/>
    </row>
    <row r="139" spans="2:2" x14ac:dyDescent="0.15">
      <c r="B139" s="21"/>
    </row>
    <row r="140" spans="2:2" x14ac:dyDescent="0.15">
      <c r="B140" s="21"/>
    </row>
    <row r="141" spans="2:2" x14ac:dyDescent="0.15">
      <c r="B141" s="21"/>
    </row>
    <row r="142" spans="2:2" x14ac:dyDescent="0.15">
      <c r="B142" s="21"/>
    </row>
    <row r="143" spans="2:2" x14ac:dyDescent="0.15">
      <c r="B143" s="21"/>
    </row>
    <row r="144" spans="2:2" x14ac:dyDescent="0.15">
      <c r="B144" s="21"/>
    </row>
    <row r="145" spans="2:2" x14ac:dyDescent="0.15">
      <c r="B145" s="21"/>
    </row>
    <row r="146" spans="2:2" x14ac:dyDescent="0.15">
      <c r="B146" s="21"/>
    </row>
    <row r="147" spans="2:2" x14ac:dyDescent="0.15">
      <c r="B147" s="21"/>
    </row>
    <row r="148" spans="2:2" x14ac:dyDescent="0.15">
      <c r="B148" s="21"/>
    </row>
    <row r="149" spans="2:2" x14ac:dyDescent="0.15">
      <c r="B149" s="21"/>
    </row>
    <row r="150" spans="2:2" x14ac:dyDescent="0.15">
      <c r="B150" s="21"/>
    </row>
    <row r="151" spans="2:2" x14ac:dyDescent="0.15">
      <c r="B151" s="21"/>
    </row>
    <row r="152" spans="2:2" x14ac:dyDescent="0.15">
      <c r="B152" s="21"/>
    </row>
    <row r="153" spans="2:2" x14ac:dyDescent="0.15">
      <c r="B153" s="21"/>
    </row>
    <row r="154" spans="2:2" x14ac:dyDescent="0.15">
      <c r="B154" s="21"/>
    </row>
    <row r="155" spans="2:2" x14ac:dyDescent="0.15">
      <c r="B155" s="21"/>
    </row>
    <row r="156" spans="2:2" x14ac:dyDescent="0.15">
      <c r="B156" s="21"/>
    </row>
    <row r="157" spans="2:2" x14ac:dyDescent="0.15">
      <c r="B157" s="21"/>
    </row>
    <row r="158" spans="2:2" x14ac:dyDescent="0.15">
      <c r="B158" s="21"/>
    </row>
    <row r="159" spans="2:2" x14ac:dyDescent="0.15">
      <c r="B159" s="21"/>
    </row>
    <row r="160" spans="2:2" x14ac:dyDescent="0.15">
      <c r="B160" s="21"/>
    </row>
    <row r="161" spans="2:2" x14ac:dyDescent="0.15">
      <c r="B161" s="21"/>
    </row>
    <row r="162" spans="2:2" x14ac:dyDescent="0.15">
      <c r="B162" s="21"/>
    </row>
    <row r="163" spans="2:2" x14ac:dyDescent="0.15">
      <c r="B163" s="21"/>
    </row>
    <row r="164" spans="2:2" x14ac:dyDescent="0.15">
      <c r="B164" s="21"/>
    </row>
    <row r="165" spans="2:2" x14ac:dyDescent="0.15">
      <c r="B165" s="21"/>
    </row>
    <row r="166" spans="2:2" x14ac:dyDescent="0.15">
      <c r="B166" s="21"/>
    </row>
    <row r="167" spans="2:2" x14ac:dyDescent="0.15">
      <c r="B167" s="21"/>
    </row>
    <row r="168" spans="2:2" x14ac:dyDescent="0.15">
      <c r="B168" s="21"/>
    </row>
    <row r="169" spans="2:2" x14ac:dyDescent="0.15">
      <c r="B169" s="21"/>
    </row>
    <row r="170" spans="2:2" x14ac:dyDescent="0.15">
      <c r="B170" s="21"/>
    </row>
    <row r="171" spans="2:2" x14ac:dyDescent="0.15">
      <c r="B171" s="21"/>
    </row>
    <row r="172" spans="2:2" x14ac:dyDescent="0.15">
      <c r="B172" s="21"/>
    </row>
    <row r="173" spans="2:2" x14ac:dyDescent="0.15">
      <c r="B173" s="21"/>
    </row>
    <row r="174" spans="2:2" x14ac:dyDescent="0.15">
      <c r="B174" s="21"/>
    </row>
    <row r="175" spans="2:2" x14ac:dyDescent="0.15">
      <c r="B175" s="21"/>
    </row>
    <row r="176" spans="2:2" x14ac:dyDescent="0.15">
      <c r="B176" s="21"/>
    </row>
    <row r="177" spans="2:2" x14ac:dyDescent="0.15">
      <c r="B177" s="21"/>
    </row>
    <row r="178" spans="2:2" x14ac:dyDescent="0.15">
      <c r="B178" s="21"/>
    </row>
    <row r="179" spans="2:2" x14ac:dyDescent="0.15">
      <c r="B179" s="21"/>
    </row>
    <row r="180" spans="2:2" x14ac:dyDescent="0.15">
      <c r="B180" s="21"/>
    </row>
    <row r="181" spans="2:2" x14ac:dyDescent="0.15">
      <c r="B181" s="21"/>
    </row>
    <row r="182" spans="2:2" x14ac:dyDescent="0.15">
      <c r="B182" s="21"/>
    </row>
    <row r="183" spans="2:2" x14ac:dyDescent="0.15">
      <c r="B183" s="21"/>
    </row>
    <row r="184" spans="2:2" x14ac:dyDescent="0.15">
      <c r="B184" s="21"/>
    </row>
    <row r="185" spans="2:2" x14ac:dyDescent="0.15">
      <c r="B185" s="21"/>
    </row>
    <row r="186" spans="2:2" x14ac:dyDescent="0.15">
      <c r="B186" s="21"/>
    </row>
    <row r="187" spans="2:2" x14ac:dyDescent="0.15">
      <c r="B187" s="21"/>
    </row>
    <row r="188" spans="2:2" x14ac:dyDescent="0.15">
      <c r="B188" s="21"/>
    </row>
    <row r="189" spans="2:2" x14ac:dyDescent="0.15">
      <c r="B189" s="21"/>
    </row>
    <row r="190" spans="2:2" x14ac:dyDescent="0.15">
      <c r="B190" s="21"/>
    </row>
    <row r="191" spans="2:2" x14ac:dyDescent="0.15">
      <c r="B191" s="21"/>
    </row>
    <row r="192" spans="2:2" x14ac:dyDescent="0.15">
      <c r="B192" s="21"/>
    </row>
    <row r="193" spans="2:2" x14ac:dyDescent="0.15">
      <c r="B193" s="21"/>
    </row>
    <row r="194" spans="2:2" x14ac:dyDescent="0.15">
      <c r="B194" s="21"/>
    </row>
    <row r="195" spans="2:2" x14ac:dyDescent="0.15">
      <c r="B195" s="21"/>
    </row>
    <row r="196" spans="2:2" x14ac:dyDescent="0.15">
      <c r="B196" s="21"/>
    </row>
    <row r="197" spans="2:2" x14ac:dyDescent="0.15">
      <c r="B197" s="21"/>
    </row>
    <row r="198" spans="2:2" x14ac:dyDescent="0.15">
      <c r="B198" s="21"/>
    </row>
    <row r="199" spans="2:2" x14ac:dyDescent="0.15">
      <c r="B199" s="21"/>
    </row>
    <row r="200" spans="2:2" x14ac:dyDescent="0.15">
      <c r="B200" s="21"/>
    </row>
    <row r="201" spans="2:2" x14ac:dyDescent="0.15">
      <c r="B201" s="21"/>
    </row>
    <row r="202" spans="2:2" x14ac:dyDescent="0.15">
      <c r="B202" s="21"/>
    </row>
    <row r="203" spans="2:2" x14ac:dyDescent="0.15">
      <c r="B203" s="21"/>
    </row>
    <row r="204" spans="2:2" x14ac:dyDescent="0.15">
      <c r="B204" s="21"/>
    </row>
    <row r="205" spans="2:2" x14ac:dyDescent="0.15">
      <c r="B205" s="21"/>
    </row>
    <row r="206" spans="2:2" x14ac:dyDescent="0.15">
      <c r="B206" s="21"/>
    </row>
    <row r="207" spans="2:2" x14ac:dyDescent="0.15">
      <c r="B207" s="21"/>
    </row>
    <row r="208" spans="2:2" x14ac:dyDescent="0.15">
      <c r="B208" s="21"/>
    </row>
    <row r="209" spans="2:2" x14ac:dyDescent="0.15">
      <c r="B209" s="21"/>
    </row>
    <row r="210" spans="2:2" x14ac:dyDescent="0.15">
      <c r="B210" s="21"/>
    </row>
    <row r="211" spans="2:2" x14ac:dyDescent="0.15">
      <c r="B211" s="21"/>
    </row>
    <row r="212" spans="2:2" x14ac:dyDescent="0.15">
      <c r="B212" s="21"/>
    </row>
    <row r="213" spans="2:2" x14ac:dyDescent="0.15">
      <c r="B213" s="21"/>
    </row>
    <row r="214" spans="2:2" x14ac:dyDescent="0.15">
      <c r="B214" s="21"/>
    </row>
    <row r="215" spans="2:2" x14ac:dyDescent="0.15">
      <c r="B215" s="21"/>
    </row>
    <row r="216" spans="2:2" x14ac:dyDescent="0.15">
      <c r="B216" s="21"/>
    </row>
    <row r="217" spans="2:2" x14ac:dyDescent="0.15">
      <c r="B217" s="21"/>
    </row>
    <row r="218" spans="2:2" x14ac:dyDescent="0.15">
      <c r="B218" s="21"/>
    </row>
    <row r="219" spans="2:2" x14ac:dyDescent="0.15">
      <c r="B219" s="21"/>
    </row>
    <row r="220" spans="2:2" x14ac:dyDescent="0.15">
      <c r="B220" s="21"/>
    </row>
    <row r="221" spans="2:2" x14ac:dyDescent="0.15">
      <c r="B221" s="21"/>
    </row>
    <row r="222" spans="2:2" x14ac:dyDescent="0.15">
      <c r="B222" s="21"/>
    </row>
    <row r="223" spans="2:2" x14ac:dyDescent="0.15">
      <c r="B223" s="21"/>
    </row>
    <row r="224" spans="2:2" x14ac:dyDescent="0.15">
      <c r="B224" s="21"/>
    </row>
    <row r="225" spans="2:2" x14ac:dyDescent="0.15">
      <c r="B225" s="21"/>
    </row>
    <row r="226" spans="2:2" x14ac:dyDescent="0.15">
      <c r="B226" s="21"/>
    </row>
    <row r="227" spans="2:2" x14ac:dyDescent="0.15">
      <c r="B227" s="21"/>
    </row>
    <row r="228" spans="2:2" x14ac:dyDescent="0.15">
      <c r="B228" s="21"/>
    </row>
  </sheetData>
  <mergeCells count="1">
    <mergeCell ref="A1:D1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FF00"/>
  </sheetPr>
  <dimension ref="A1:Z228"/>
  <sheetViews>
    <sheetView showGridLines="0" workbookViewId="0">
      <selection activeCell="F14" sqref="F14:Y14"/>
    </sheetView>
  </sheetViews>
  <sheetFormatPr baseColWidth="10" defaultRowHeight="10.5" x14ac:dyDescent="0.15"/>
  <cols>
    <col min="1" max="1" width="2.140625" style="90" customWidth="1"/>
    <col min="2" max="2" width="15.7109375" style="90" bestFit="1" customWidth="1"/>
    <col min="3" max="3" width="24" style="128" bestFit="1" customWidth="1"/>
    <col min="4" max="4" width="24" style="128" customWidth="1"/>
    <col min="5" max="22" width="24" style="90" customWidth="1"/>
    <col min="23" max="23" width="24" style="128" customWidth="1"/>
    <col min="24" max="25" width="24" style="90" customWidth="1"/>
    <col min="26" max="16384" width="11.42578125" style="90"/>
  </cols>
  <sheetData>
    <row r="1" spans="1:26" s="125" customFormat="1" ht="86.25" customHeight="1" x14ac:dyDescent="0.15">
      <c r="A1" s="159"/>
      <c r="B1" s="159"/>
      <c r="C1" s="159"/>
      <c r="D1" s="159"/>
      <c r="F1" s="51" t="s">
        <v>225</v>
      </c>
      <c r="G1" s="129">
        <f>'Configuración AG'!C3</f>
        <v>100</v>
      </c>
      <c r="H1" s="51" t="s">
        <v>245</v>
      </c>
      <c r="I1" s="129">
        <f>'Configuración AG'!C13</f>
        <v>8</v>
      </c>
      <c r="J1" s="51" t="s">
        <v>246</v>
      </c>
      <c r="K1" s="129">
        <f>ROUNDUP(I1/2,0)</f>
        <v>4</v>
      </c>
      <c r="L1" s="51" t="s">
        <v>247</v>
      </c>
      <c r="M1" s="129">
        <f>ROUNDUP(3*I1/4,0)</f>
        <v>6</v>
      </c>
      <c r="N1" s="51" t="s">
        <v>248</v>
      </c>
      <c r="O1" s="129">
        <f>INT('Configuración AG'!C3*'Configuración AG'!C7)</f>
        <v>50</v>
      </c>
      <c r="W1" s="126"/>
    </row>
    <row r="2" spans="1:26" x14ac:dyDescent="0.15">
      <c r="B2" s="65" t="s">
        <v>232</v>
      </c>
      <c r="C2" s="127" t="s">
        <v>234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127"/>
    </row>
    <row r="3" spans="1:26" x14ac:dyDescent="0.15">
      <c r="B3" s="21">
        <v>1</v>
      </c>
      <c r="C3" s="131"/>
    </row>
    <row r="4" spans="1:26" x14ac:dyDescent="0.15">
      <c r="B4" s="21">
        <v>2</v>
      </c>
      <c r="D4" s="127" t="str">
        <f>CONCATENATE("Rand A.Between 1 - ",G1*'Configuración AG'!C7)</f>
        <v>Rand A.Between 1 - 50</v>
      </c>
      <c r="E4" s="95">
        <f ca="1">RANDBETWEEN(1,G1*'Configuración AG'!C7)</f>
        <v>25</v>
      </c>
    </row>
    <row r="5" spans="1:26" x14ac:dyDescent="0.15">
      <c r="B5" s="21">
        <v>3</v>
      </c>
      <c r="D5" s="127" t="str">
        <f>CONCATENATE("Rand B.Between 1 - ",G1*'Configuración AG'!C7)</f>
        <v>Rand B.Between 1 - 50</v>
      </c>
      <c r="E5" s="95">
        <f ca="1">RANDBETWEEN(1,G1*'Configuración AG'!C7)</f>
        <v>31</v>
      </c>
    </row>
    <row r="6" spans="1:26" x14ac:dyDescent="0.15">
      <c r="B6" s="21">
        <v>4</v>
      </c>
      <c r="E6" s="76" t="s">
        <v>238</v>
      </c>
      <c r="F6" s="135">
        <v>1</v>
      </c>
      <c r="G6" s="135">
        <v>2</v>
      </c>
      <c r="H6" s="135">
        <v>3</v>
      </c>
      <c r="I6" s="135">
        <v>4</v>
      </c>
      <c r="J6" s="135">
        <v>5</v>
      </c>
      <c r="K6" s="135">
        <v>6</v>
      </c>
      <c r="L6" s="135">
        <v>7</v>
      </c>
      <c r="M6" s="135">
        <v>8</v>
      </c>
      <c r="N6" s="135">
        <v>9</v>
      </c>
      <c r="O6" s="135">
        <v>10</v>
      </c>
      <c r="P6" s="135">
        <v>11</v>
      </c>
      <c r="Q6" s="135">
        <v>12</v>
      </c>
      <c r="R6" s="135">
        <v>13</v>
      </c>
      <c r="S6" s="135">
        <v>14</v>
      </c>
      <c r="T6" s="135">
        <v>15</v>
      </c>
      <c r="U6" s="135">
        <v>16</v>
      </c>
      <c r="V6" s="135">
        <v>17</v>
      </c>
      <c r="W6" s="135">
        <v>18</v>
      </c>
      <c r="X6" s="135">
        <v>19</v>
      </c>
      <c r="Y6" s="135">
        <v>20</v>
      </c>
      <c r="Z6" s="65"/>
    </row>
    <row r="7" spans="1:26" x14ac:dyDescent="0.15">
      <c r="B7" s="21">
        <v>5</v>
      </c>
      <c r="D7" s="132" t="s">
        <v>236</v>
      </c>
      <c r="E7" s="134">
        <v>13</v>
      </c>
      <c r="F7" s="133" t="str">
        <f ca="1">OFFSET(Población!$B$2,Cruce!$E7,Cruce!F$6)</f>
        <v>Estación torneado</v>
      </c>
      <c r="G7" s="133" t="str">
        <f ca="1">OFFSET(Población!$B$2,Cruce!$E7,Cruce!G$6)</f>
        <v>Estación fresado</v>
      </c>
      <c r="H7" s="133" t="str">
        <f ca="1">OFFSET(Población!$B$2,Cruce!$E7,Cruce!H$6)</f>
        <v>Estación limado</v>
      </c>
      <c r="I7" s="133" t="str">
        <f ca="1">OFFSET(Población!$B$2,Cruce!$E7,Cruce!I$6)</f>
        <v>Estación pulido</v>
      </c>
      <c r="J7" s="133" t="str">
        <f ca="1">OFFSET(Población!$B$2,Cruce!$E7,Cruce!J$6)</f>
        <v>Bodega materia prima</v>
      </c>
      <c r="K7" s="133" t="str">
        <f ca="1">OFFSET(Población!$B$2,Cruce!$E7,Cruce!K$6)</f>
        <v>Bodega producto terminado</v>
      </c>
      <c r="L7" s="133" t="str">
        <f ca="1">OFFSET(Población!$B$2,Cruce!$E7,Cruce!L$6)</f>
        <v>Estación empaque</v>
      </c>
      <c r="M7" s="133" t="str">
        <f ca="1">OFFSET(Población!$B$2,Cruce!$E7,Cruce!M$6)</f>
        <v>Estación inspección</v>
      </c>
      <c r="N7" s="133" t="str">
        <f ca="1">OFFSET(Población!$B$2,Cruce!$E7,Cruce!N$6)</f>
        <v/>
      </c>
      <c r="O7" s="133" t="str">
        <f ca="1">OFFSET(Población!$B$2,Cruce!$E7,Cruce!O$6)</f>
        <v/>
      </c>
      <c r="P7" s="133" t="str">
        <f ca="1">OFFSET(Población!$B$2,Cruce!$E7,Cruce!P$6)</f>
        <v/>
      </c>
      <c r="Q7" s="133" t="str">
        <f ca="1">OFFSET(Población!$B$2,Cruce!$E7,Cruce!Q$6)</f>
        <v/>
      </c>
      <c r="R7" s="133" t="str">
        <f ca="1">OFFSET(Población!$B$2,Cruce!$E7,Cruce!R$6)</f>
        <v/>
      </c>
      <c r="S7" s="133" t="str">
        <f ca="1">OFFSET(Población!$B$2,Cruce!$E7,Cruce!S$6)</f>
        <v/>
      </c>
      <c r="T7" s="133" t="str">
        <f ca="1">OFFSET(Población!$B$2,Cruce!$E7,Cruce!T$6)</f>
        <v/>
      </c>
      <c r="U7" s="133" t="str">
        <f ca="1">OFFSET(Población!$B$2,Cruce!$E7,Cruce!U$6)</f>
        <v/>
      </c>
      <c r="V7" s="133" t="str">
        <f ca="1">OFFSET(Población!$B$2,Cruce!$E7,Cruce!V$6)</f>
        <v/>
      </c>
      <c r="W7" s="133" t="str">
        <f ca="1">OFFSET(Población!$B$2,Cruce!$E7,Cruce!W$6)</f>
        <v/>
      </c>
      <c r="X7" s="133" t="str">
        <f ca="1">OFFSET(Población!$B$2,Cruce!$E7,Cruce!X$6)</f>
        <v/>
      </c>
      <c r="Y7" s="133" t="str">
        <f ca="1">OFFSET(Población!$B$2,Cruce!$E7,Cruce!Y$6)</f>
        <v/>
      </c>
    </row>
    <row r="8" spans="1:26" x14ac:dyDescent="0.15">
      <c r="B8" s="21">
        <v>6</v>
      </c>
      <c r="D8" s="132" t="s">
        <v>237</v>
      </c>
      <c r="E8" s="134">
        <v>20</v>
      </c>
      <c r="F8" s="133" t="str">
        <f ca="1">OFFSET(Población!$B$2,Cruce!$E8,Cruce!F$6)</f>
        <v>Estación torneado</v>
      </c>
      <c r="G8" s="133" t="str">
        <f ca="1">OFFSET(Población!$B$2,Cruce!$E8,Cruce!G$6)</f>
        <v>Estación fresado</v>
      </c>
      <c r="H8" s="133" t="str">
        <f ca="1">OFFSET(Población!$B$2,Cruce!$E8,Cruce!H$6)</f>
        <v>Estación limado</v>
      </c>
      <c r="I8" s="133" t="str">
        <f ca="1">OFFSET(Población!$B$2,Cruce!$E8,Cruce!I$6)</f>
        <v>Estación pulido</v>
      </c>
      <c r="J8" s="133" t="str">
        <f ca="1">OFFSET(Población!$B$2,Cruce!$E8,Cruce!J$6)</f>
        <v>Bodega materia prima</v>
      </c>
      <c r="K8" s="133" t="str">
        <f ca="1">OFFSET(Población!$B$2,Cruce!$E8,Cruce!K$6)</f>
        <v>Bodega producto terminado</v>
      </c>
      <c r="L8" s="133" t="str">
        <f ca="1">OFFSET(Población!$B$2,Cruce!$E8,Cruce!L$6)</f>
        <v>Estación empaque</v>
      </c>
      <c r="M8" s="133" t="str">
        <f ca="1">OFFSET(Población!$B$2,Cruce!$E8,Cruce!M$6)</f>
        <v>Estación inspección</v>
      </c>
      <c r="N8" s="133" t="str">
        <f ca="1">OFFSET(Población!$B$2,Cruce!$E8,Cruce!N$6)</f>
        <v/>
      </c>
      <c r="O8" s="133" t="str">
        <f ca="1">OFFSET(Población!$B$2,Cruce!$E8,Cruce!O$6)</f>
        <v/>
      </c>
      <c r="P8" s="133" t="str">
        <f ca="1">OFFSET(Población!$B$2,Cruce!$E8,Cruce!P$6)</f>
        <v/>
      </c>
      <c r="Q8" s="133" t="str">
        <f ca="1">OFFSET(Población!$B$2,Cruce!$E8,Cruce!Q$6)</f>
        <v/>
      </c>
      <c r="R8" s="133" t="str">
        <f ca="1">OFFSET(Población!$B$2,Cruce!$E8,Cruce!R$6)</f>
        <v/>
      </c>
      <c r="S8" s="133" t="str">
        <f ca="1">OFFSET(Población!$B$2,Cruce!$E8,Cruce!S$6)</f>
        <v/>
      </c>
      <c r="T8" s="133" t="str">
        <f ca="1">OFFSET(Población!$B$2,Cruce!$E8,Cruce!T$6)</f>
        <v/>
      </c>
      <c r="U8" s="133" t="str">
        <f ca="1">OFFSET(Población!$B$2,Cruce!$E8,Cruce!U$6)</f>
        <v/>
      </c>
      <c r="V8" s="133" t="str">
        <f ca="1">OFFSET(Población!$B$2,Cruce!$E8,Cruce!V$6)</f>
        <v/>
      </c>
      <c r="W8" s="133" t="str">
        <f ca="1">OFFSET(Población!$B$2,Cruce!$E8,Cruce!W$6)</f>
        <v/>
      </c>
      <c r="X8" s="133" t="str">
        <f ca="1">OFFSET(Población!$B$2,Cruce!$E8,Cruce!X$6)</f>
        <v/>
      </c>
      <c r="Y8" s="133" t="str">
        <f ca="1">OFFSET(Población!$B$2,Cruce!$E8,Cruce!Y$6)</f>
        <v/>
      </c>
    </row>
    <row r="9" spans="1:26" x14ac:dyDescent="0.15">
      <c r="B9" s="21">
        <v>7</v>
      </c>
    </row>
    <row r="10" spans="1:26" x14ac:dyDescent="0.15">
      <c r="B10" s="21">
        <v>8</v>
      </c>
      <c r="E10" s="132" t="s">
        <v>239</v>
      </c>
      <c r="F10" s="133">
        <f t="shared" ref="F10:Y10" ca="1" si="0">VLOOKUP(F7,TablaEstacionesB,2,FALSE)</f>
        <v>1</v>
      </c>
      <c r="G10" s="133">
        <f t="shared" ca="1" si="0"/>
        <v>3</v>
      </c>
      <c r="H10" s="133">
        <f t="shared" ca="1" si="0"/>
        <v>4</v>
      </c>
      <c r="I10" s="133">
        <f t="shared" ca="1" si="0"/>
        <v>2</v>
      </c>
      <c r="J10" s="133">
        <f t="shared" ca="1" si="0"/>
        <v>6</v>
      </c>
      <c r="K10" s="133">
        <f t="shared" ca="1" si="0"/>
        <v>7</v>
      </c>
      <c r="L10" s="133">
        <f t="shared" ca="1" si="0"/>
        <v>5</v>
      </c>
      <c r="M10" s="133">
        <f t="shared" ca="1" si="0"/>
        <v>8</v>
      </c>
      <c r="N10" s="133" t="str">
        <f t="shared" ca="1" si="0"/>
        <v/>
      </c>
      <c r="O10" s="133" t="str">
        <f t="shared" ca="1" si="0"/>
        <v/>
      </c>
      <c r="P10" s="133" t="str">
        <f t="shared" ca="1" si="0"/>
        <v/>
      </c>
      <c r="Q10" s="133" t="str">
        <f t="shared" ca="1" si="0"/>
        <v/>
      </c>
      <c r="R10" s="133" t="str">
        <f t="shared" ca="1" si="0"/>
        <v/>
      </c>
      <c r="S10" s="133" t="str">
        <f t="shared" ca="1" si="0"/>
        <v/>
      </c>
      <c r="T10" s="133" t="str">
        <f t="shared" ca="1" si="0"/>
        <v/>
      </c>
      <c r="U10" s="133" t="str">
        <f t="shared" ca="1" si="0"/>
        <v/>
      </c>
      <c r="V10" s="133" t="str">
        <f t="shared" ca="1" si="0"/>
        <v/>
      </c>
      <c r="W10" s="133" t="str">
        <f t="shared" ca="1" si="0"/>
        <v/>
      </c>
      <c r="X10" s="133" t="str">
        <f t="shared" ca="1" si="0"/>
        <v/>
      </c>
      <c r="Y10" s="133" t="str">
        <f t="shared" ca="1" si="0"/>
        <v/>
      </c>
    </row>
    <row r="11" spans="1:26" x14ac:dyDescent="0.15">
      <c r="B11" s="21">
        <v>9</v>
      </c>
      <c r="E11" s="132" t="s">
        <v>240</v>
      </c>
      <c r="F11" s="133">
        <f t="shared" ref="F11:Y11" ca="1" si="1">VLOOKUP(F8,TablaEstacionesB,2,FALSE)</f>
        <v>1</v>
      </c>
      <c r="G11" s="133">
        <f t="shared" ca="1" si="1"/>
        <v>3</v>
      </c>
      <c r="H11" s="133">
        <f t="shared" ca="1" si="1"/>
        <v>4</v>
      </c>
      <c r="I11" s="133">
        <f t="shared" ca="1" si="1"/>
        <v>2</v>
      </c>
      <c r="J11" s="133">
        <f t="shared" ca="1" si="1"/>
        <v>6</v>
      </c>
      <c r="K11" s="133">
        <f t="shared" ca="1" si="1"/>
        <v>7</v>
      </c>
      <c r="L11" s="133">
        <f t="shared" ca="1" si="1"/>
        <v>5</v>
      </c>
      <c r="M11" s="133">
        <f t="shared" ca="1" si="1"/>
        <v>8</v>
      </c>
      <c r="N11" s="133" t="str">
        <f t="shared" ca="1" si="1"/>
        <v/>
      </c>
      <c r="O11" s="133" t="str">
        <f t="shared" ca="1" si="1"/>
        <v/>
      </c>
      <c r="P11" s="133" t="str">
        <f t="shared" ca="1" si="1"/>
        <v/>
      </c>
      <c r="Q11" s="133" t="str">
        <f t="shared" ca="1" si="1"/>
        <v/>
      </c>
      <c r="R11" s="133" t="str">
        <f t="shared" ca="1" si="1"/>
        <v/>
      </c>
      <c r="S11" s="133" t="str">
        <f t="shared" ca="1" si="1"/>
        <v/>
      </c>
      <c r="T11" s="133" t="str">
        <f t="shared" ca="1" si="1"/>
        <v/>
      </c>
      <c r="U11" s="133" t="str">
        <f t="shared" ca="1" si="1"/>
        <v/>
      </c>
      <c r="V11" s="133" t="str">
        <f t="shared" ca="1" si="1"/>
        <v/>
      </c>
      <c r="W11" s="133" t="str">
        <f t="shared" ca="1" si="1"/>
        <v/>
      </c>
      <c r="X11" s="133" t="str">
        <f t="shared" ca="1" si="1"/>
        <v/>
      </c>
      <c r="Y11" s="133" t="str">
        <f t="shared" ca="1" si="1"/>
        <v/>
      </c>
    </row>
    <row r="12" spans="1:26" x14ac:dyDescent="0.15">
      <c r="B12" s="21">
        <v>10</v>
      </c>
      <c r="F12" s="31"/>
      <c r="G12" s="31"/>
      <c r="H12" s="31"/>
      <c r="I12" s="136"/>
      <c r="J12" s="136"/>
      <c r="K12" s="136"/>
      <c r="L12" s="31"/>
      <c r="M12" s="31"/>
    </row>
    <row r="13" spans="1:26" x14ac:dyDescent="0.15">
      <c r="B13" s="21">
        <v>11</v>
      </c>
      <c r="E13" s="132" t="s">
        <v>241</v>
      </c>
      <c r="F13" s="133">
        <v>1</v>
      </c>
      <c r="G13" s="133">
        <v>3</v>
      </c>
      <c r="H13" s="133">
        <v>4</v>
      </c>
      <c r="I13" s="133">
        <v>2</v>
      </c>
      <c r="J13" s="133">
        <v>6</v>
      </c>
      <c r="K13" s="133">
        <v>7</v>
      </c>
      <c r="L13" s="133">
        <v>5</v>
      </c>
      <c r="M13" s="133">
        <v>8</v>
      </c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</row>
    <row r="14" spans="1:26" x14ac:dyDescent="0.15">
      <c r="B14" s="21">
        <v>12</v>
      </c>
      <c r="E14" s="132" t="s">
        <v>242</v>
      </c>
      <c r="F14" s="133">
        <v>1</v>
      </c>
      <c r="G14" s="133">
        <v>3</v>
      </c>
      <c r="H14" s="133">
        <v>4</v>
      </c>
      <c r="I14" s="133">
        <v>2</v>
      </c>
      <c r="J14" s="133">
        <v>6</v>
      </c>
      <c r="K14" s="133">
        <v>7</v>
      </c>
      <c r="L14" s="133">
        <v>5</v>
      </c>
      <c r="M14" s="133">
        <v>8</v>
      </c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</row>
    <row r="15" spans="1:26" x14ac:dyDescent="0.15">
      <c r="B15" s="21">
        <v>13</v>
      </c>
      <c r="F15" s="31"/>
      <c r="G15" s="31"/>
      <c r="H15" s="31"/>
      <c r="I15" s="136"/>
      <c r="J15" s="136"/>
      <c r="K15" s="136"/>
      <c r="L15" s="31"/>
      <c r="M15" s="31"/>
    </row>
    <row r="16" spans="1:26" x14ac:dyDescent="0.15">
      <c r="B16" s="21">
        <v>14</v>
      </c>
      <c r="E16" s="132" t="s">
        <v>243</v>
      </c>
      <c r="F16" s="133">
        <f ca="1">IF(F10="","",COUNTIF($F13:$Y13,F10))</f>
        <v>1</v>
      </c>
      <c r="G16" s="133">
        <f t="shared" ref="G16:Y16" ca="1" si="2">IF(G10="","",COUNTIF($F13:$Y13,G10))</f>
        <v>1</v>
      </c>
      <c r="H16" s="133">
        <f t="shared" ca="1" si="2"/>
        <v>1</v>
      </c>
      <c r="I16" s="133">
        <f t="shared" ca="1" si="2"/>
        <v>1</v>
      </c>
      <c r="J16" s="133">
        <f t="shared" ca="1" si="2"/>
        <v>1</v>
      </c>
      <c r="K16" s="133">
        <f t="shared" ca="1" si="2"/>
        <v>1</v>
      </c>
      <c r="L16" s="133">
        <f t="shared" ca="1" si="2"/>
        <v>1</v>
      </c>
      <c r="M16" s="133">
        <f t="shared" ca="1" si="2"/>
        <v>1</v>
      </c>
      <c r="N16" s="133" t="str">
        <f t="shared" ca="1" si="2"/>
        <v/>
      </c>
      <c r="O16" s="133" t="str">
        <f t="shared" ca="1" si="2"/>
        <v/>
      </c>
      <c r="P16" s="133" t="str">
        <f t="shared" ca="1" si="2"/>
        <v/>
      </c>
      <c r="Q16" s="133" t="str">
        <f t="shared" ca="1" si="2"/>
        <v/>
      </c>
      <c r="R16" s="133" t="str">
        <f t="shared" ca="1" si="2"/>
        <v/>
      </c>
      <c r="S16" s="133" t="str">
        <f t="shared" ca="1" si="2"/>
        <v/>
      </c>
      <c r="T16" s="133" t="str">
        <f t="shared" ca="1" si="2"/>
        <v/>
      </c>
      <c r="U16" s="133" t="str">
        <f t="shared" ca="1" si="2"/>
        <v/>
      </c>
      <c r="V16" s="133" t="str">
        <f t="shared" ca="1" si="2"/>
        <v/>
      </c>
      <c r="W16" s="133" t="str">
        <f t="shared" ca="1" si="2"/>
        <v/>
      </c>
      <c r="X16" s="133" t="str">
        <f t="shared" ca="1" si="2"/>
        <v/>
      </c>
      <c r="Y16" s="133" t="str">
        <f t="shared" ca="1" si="2"/>
        <v/>
      </c>
    </row>
    <row r="17" spans="2:25" x14ac:dyDescent="0.15">
      <c r="B17" s="21">
        <v>15</v>
      </c>
      <c r="E17" s="132" t="s">
        <v>244</v>
      </c>
      <c r="F17" s="133">
        <f ca="1">IF(F11="","",COUNTIF($F14:$Y14,F11))</f>
        <v>1</v>
      </c>
      <c r="G17" s="133">
        <f t="shared" ref="G17:Y17" ca="1" si="3">IF(G11="","",COUNTIF($F14:$Y14,G11))</f>
        <v>1</v>
      </c>
      <c r="H17" s="133">
        <f t="shared" ca="1" si="3"/>
        <v>1</v>
      </c>
      <c r="I17" s="133">
        <f t="shared" ca="1" si="3"/>
        <v>1</v>
      </c>
      <c r="J17" s="133">
        <f t="shared" ca="1" si="3"/>
        <v>1</v>
      </c>
      <c r="K17" s="133">
        <f t="shared" ca="1" si="3"/>
        <v>1</v>
      </c>
      <c r="L17" s="133">
        <f t="shared" ca="1" si="3"/>
        <v>1</v>
      </c>
      <c r="M17" s="133">
        <f t="shared" ca="1" si="3"/>
        <v>1</v>
      </c>
      <c r="N17" s="133" t="str">
        <f t="shared" ca="1" si="3"/>
        <v/>
      </c>
      <c r="O17" s="133" t="str">
        <f t="shared" ca="1" si="3"/>
        <v/>
      </c>
      <c r="P17" s="133" t="str">
        <f t="shared" ca="1" si="3"/>
        <v/>
      </c>
      <c r="Q17" s="133" t="str">
        <f t="shared" ca="1" si="3"/>
        <v/>
      </c>
      <c r="R17" s="133" t="str">
        <f t="shared" ca="1" si="3"/>
        <v/>
      </c>
      <c r="S17" s="133" t="str">
        <f t="shared" ca="1" si="3"/>
        <v/>
      </c>
      <c r="T17" s="133" t="str">
        <f t="shared" ca="1" si="3"/>
        <v/>
      </c>
      <c r="U17" s="133" t="str">
        <f t="shared" ca="1" si="3"/>
        <v/>
      </c>
      <c r="V17" s="133" t="str">
        <f t="shared" ca="1" si="3"/>
        <v/>
      </c>
      <c r="W17" s="133" t="str">
        <f t="shared" ca="1" si="3"/>
        <v/>
      </c>
      <c r="X17" s="133" t="str">
        <f t="shared" ca="1" si="3"/>
        <v/>
      </c>
      <c r="Y17" s="133" t="str">
        <f t="shared" ca="1" si="3"/>
        <v/>
      </c>
    </row>
    <row r="18" spans="2:25" x14ac:dyDescent="0.15">
      <c r="B18" s="21">
        <v>16</v>
      </c>
      <c r="W18" s="90"/>
    </row>
    <row r="19" spans="2:25" x14ac:dyDescent="0.15">
      <c r="B19" s="21">
        <v>17</v>
      </c>
      <c r="W19" s="90"/>
    </row>
    <row r="20" spans="2:25" x14ac:dyDescent="0.15">
      <c r="B20" s="21">
        <v>18</v>
      </c>
      <c r="W20" s="90"/>
    </row>
    <row r="21" spans="2:25" x14ac:dyDescent="0.15">
      <c r="B21" s="21">
        <v>19</v>
      </c>
    </row>
    <row r="22" spans="2:25" x14ac:dyDescent="0.15">
      <c r="B22" s="21">
        <v>20</v>
      </c>
    </row>
    <row r="23" spans="2:25" x14ac:dyDescent="0.15">
      <c r="B23" s="21">
        <v>21</v>
      </c>
    </row>
    <row r="24" spans="2:25" x14ac:dyDescent="0.15">
      <c r="B24" s="21">
        <v>22</v>
      </c>
    </row>
    <row r="25" spans="2:25" x14ac:dyDescent="0.15">
      <c r="B25" s="21">
        <v>23</v>
      </c>
    </row>
    <row r="26" spans="2:25" x14ac:dyDescent="0.15">
      <c r="B26" s="21">
        <v>24</v>
      </c>
    </row>
    <row r="27" spans="2:25" x14ac:dyDescent="0.15">
      <c r="B27" s="21">
        <v>25</v>
      </c>
    </row>
    <row r="28" spans="2:25" x14ac:dyDescent="0.15">
      <c r="B28" s="21">
        <v>26</v>
      </c>
    </row>
    <row r="29" spans="2:25" x14ac:dyDescent="0.15">
      <c r="B29" s="21">
        <v>27</v>
      </c>
    </row>
    <row r="30" spans="2:25" x14ac:dyDescent="0.15">
      <c r="B30" s="21">
        <v>28</v>
      </c>
    </row>
    <row r="31" spans="2:25" x14ac:dyDescent="0.15">
      <c r="B31" s="21">
        <v>29</v>
      </c>
    </row>
    <row r="32" spans="2:25" x14ac:dyDescent="0.15">
      <c r="B32" s="21">
        <v>30</v>
      </c>
    </row>
    <row r="33" spans="2:2" x14ac:dyDescent="0.15">
      <c r="B33" s="21">
        <v>31</v>
      </c>
    </row>
    <row r="34" spans="2:2" x14ac:dyDescent="0.15">
      <c r="B34" s="21">
        <v>32</v>
      </c>
    </row>
    <row r="35" spans="2:2" x14ac:dyDescent="0.15">
      <c r="B35" s="21">
        <v>33</v>
      </c>
    </row>
    <row r="36" spans="2:2" x14ac:dyDescent="0.15">
      <c r="B36" s="21">
        <v>34</v>
      </c>
    </row>
    <row r="37" spans="2:2" x14ac:dyDescent="0.15">
      <c r="B37" s="21">
        <v>35</v>
      </c>
    </row>
    <row r="38" spans="2:2" x14ac:dyDescent="0.15">
      <c r="B38" s="21">
        <v>36</v>
      </c>
    </row>
    <row r="39" spans="2:2" x14ac:dyDescent="0.15">
      <c r="B39" s="21">
        <v>37</v>
      </c>
    </row>
    <row r="40" spans="2:2" x14ac:dyDescent="0.15">
      <c r="B40" s="21">
        <v>38</v>
      </c>
    </row>
    <row r="41" spans="2:2" x14ac:dyDescent="0.15">
      <c r="B41" s="21">
        <v>39</v>
      </c>
    </row>
    <row r="42" spans="2:2" x14ac:dyDescent="0.15">
      <c r="B42" s="21">
        <v>40</v>
      </c>
    </row>
    <row r="43" spans="2:2" x14ac:dyDescent="0.15">
      <c r="B43" s="21">
        <v>41</v>
      </c>
    </row>
    <row r="44" spans="2:2" x14ac:dyDescent="0.15">
      <c r="B44" s="21">
        <v>42</v>
      </c>
    </row>
    <row r="45" spans="2:2" x14ac:dyDescent="0.15">
      <c r="B45" s="21">
        <v>43</v>
      </c>
    </row>
    <row r="46" spans="2:2" x14ac:dyDescent="0.15">
      <c r="B46" s="21">
        <v>44</v>
      </c>
    </row>
    <row r="47" spans="2:2" x14ac:dyDescent="0.15">
      <c r="B47" s="21">
        <v>45</v>
      </c>
    </row>
    <row r="48" spans="2:2" x14ac:dyDescent="0.15">
      <c r="B48" s="21">
        <v>46</v>
      </c>
    </row>
    <row r="49" spans="2:2" x14ac:dyDescent="0.15">
      <c r="B49" s="21">
        <v>47</v>
      </c>
    </row>
    <row r="50" spans="2:2" x14ac:dyDescent="0.15">
      <c r="B50" s="21">
        <v>48</v>
      </c>
    </row>
    <row r="51" spans="2:2" x14ac:dyDescent="0.15">
      <c r="B51" s="21">
        <v>49</v>
      </c>
    </row>
    <row r="52" spans="2:2" x14ac:dyDescent="0.15">
      <c r="B52" s="21">
        <v>50</v>
      </c>
    </row>
    <row r="53" spans="2:2" x14ac:dyDescent="0.15">
      <c r="B53" s="21">
        <v>51</v>
      </c>
    </row>
    <row r="54" spans="2:2" x14ac:dyDescent="0.15">
      <c r="B54" s="21">
        <v>52</v>
      </c>
    </row>
    <row r="55" spans="2:2" x14ac:dyDescent="0.15">
      <c r="B55" s="21">
        <v>53</v>
      </c>
    </row>
    <row r="56" spans="2:2" x14ac:dyDescent="0.15">
      <c r="B56" s="21">
        <v>54</v>
      </c>
    </row>
    <row r="57" spans="2:2" x14ac:dyDescent="0.15">
      <c r="B57" s="21">
        <v>55</v>
      </c>
    </row>
    <row r="58" spans="2:2" x14ac:dyDescent="0.15">
      <c r="B58" s="21">
        <v>56</v>
      </c>
    </row>
    <row r="59" spans="2:2" x14ac:dyDescent="0.15">
      <c r="B59" s="21">
        <v>57</v>
      </c>
    </row>
    <row r="60" spans="2:2" x14ac:dyDescent="0.15">
      <c r="B60" s="21">
        <v>58</v>
      </c>
    </row>
    <row r="61" spans="2:2" x14ac:dyDescent="0.15">
      <c r="B61" s="21">
        <v>59</v>
      </c>
    </row>
    <row r="62" spans="2:2" x14ac:dyDescent="0.15">
      <c r="B62" s="21">
        <v>60</v>
      </c>
    </row>
    <row r="63" spans="2:2" x14ac:dyDescent="0.15">
      <c r="B63" s="21">
        <v>61</v>
      </c>
    </row>
    <row r="64" spans="2:2" x14ac:dyDescent="0.15">
      <c r="B64" s="21">
        <v>62</v>
      </c>
    </row>
    <row r="65" spans="2:2" x14ac:dyDescent="0.15">
      <c r="B65" s="21">
        <v>63</v>
      </c>
    </row>
    <row r="66" spans="2:2" x14ac:dyDescent="0.15">
      <c r="B66" s="21">
        <v>64</v>
      </c>
    </row>
    <row r="67" spans="2:2" x14ac:dyDescent="0.15">
      <c r="B67" s="21">
        <v>65</v>
      </c>
    </row>
    <row r="68" spans="2:2" x14ac:dyDescent="0.15">
      <c r="B68" s="21">
        <v>66</v>
      </c>
    </row>
    <row r="69" spans="2:2" x14ac:dyDescent="0.15">
      <c r="B69" s="21">
        <v>67</v>
      </c>
    </row>
    <row r="70" spans="2:2" x14ac:dyDescent="0.15">
      <c r="B70" s="21">
        <v>68</v>
      </c>
    </row>
    <row r="71" spans="2:2" x14ac:dyDescent="0.15">
      <c r="B71" s="21">
        <v>69</v>
      </c>
    </row>
    <row r="72" spans="2:2" x14ac:dyDescent="0.15">
      <c r="B72" s="21">
        <v>70</v>
      </c>
    </row>
    <row r="73" spans="2:2" x14ac:dyDescent="0.15">
      <c r="B73" s="21">
        <v>71</v>
      </c>
    </row>
    <row r="74" spans="2:2" x14ac:dyDescent="0.15">
      <c r="B74" s="21">
        <v>72</v>
      </c>
    </row>
    <row r="75" spans="2:2" x14ac:dyDescent="0.15">
      <c r="B75" s="21">
        <v>73</v>
      </c>
    </row>
    <row r="76" spans="2:2" x14ac:dyDescent="0.15">
      <c r="B76" s="21">
        <v>74</v>
      </c>
    </row>
    <row r="77" spans="2:2" x14ac:dyDescent="0.15">
      <c r="B77" s="21">
        <v>75</v>
      </c>
    </row>
    <row r="78" spans="2:2" x14ac:dyDescent="0.15">
      <c r="B78" s="21">
        <v>76</v>
      </c>
    </row>
    <row r="79" spans="2:2" x14ac:dyDescent="0.15">
      <c r="B79" s="21">
        <v>77</v>
      </c>
    </row>
    <row r="80" spans="2:2" x14ac:dyDescent="0.15">
      <c r="B80" s="21">
        <v>78</v>
      </c>
    </row>
    <row r="81" spans="2:2" x14ac:dyDescent="0.15">
      <c r="B81" s="21">
        <v>79</v>
      </c>
    </row>
    <row r="82" spans="2:2" x14ac:dyDescent="0.15">
      <c r="B82" s="21">
        <v>80</v>
      </c>
    </row>
    <row r="83" spans="2:2" x14ac:dyDescent="0.15">
      <c r="B83" s="21">
        <v>81</v>
      </c>
    </row>
    <row r="84" spans="2:2" x14ac:dyDescent="0.15">
      <c r="B84" s="21">
        <v>82</v>
      </c>
    </row>
    <row r="85" spans="2:2" x14ac:dyDescent="0.15">
      <c r="B85" s="21">
        <v>83</v>
      </c>
    </row>
    <row r="86" spans="2:2" x14ac:dyDescent="0.15">
      <c r="B86" s="21">
        <v>84</v>
      </c>
    </row>
    <row r="87" spans="2:2" x14ac:dyDescent="0.15">
      <c r="B87" s="21">
        <v>85</v>
      </c>
    </row>
    <row r="88" spans="2:2" x14ac:dyDescent="0.15">
      <c r="B88" s="21">
        <v>86</v>
      </c>
    </row>
    <row r="89" spans="2:2" x14ac:dyDescent="0.15">
      <c r="B89" s="21">
        <v>87</v>
      </c>
    </row>
    <row r="90" spans="2:2" x14ac:dyDescent="0.15">
      <c r="B90" s="21">
        <v>88</v>
      </c>
    </row>
    <row r="91" spans="2:2" x14ac:dyDescent="0.15">
      <c r="B91" s="21">
        <v>89</v>
      </c>
    </row>
    <row r="92" spans="2:2" x14ac:dyDescent="0.15">
      <c r="B92" s="21">
        <v>90</v>
      </c>
    </row>
    <row r="93" spans="2:2" x14ac:dyDescent="0.15">
      <c r="B93" s="21">
        <v>91</v>
      </c>
    </row>
    <row r="94" spans="2:2" x14ac:dyDescent="0.15">
      <c r="B94" s="21">
        <v>92</v>
      </c>
    </row>
    <row r="95" spans="2:2" x14ac:dyDescent="0.15">
      <c r="B95" s="21">
        <v>93</v>
      </c>
    </row>
    <row r="96" spans="2:2" x14ac:dyDescent="0.15">
      <c r="B96" s="21">
        <v>94</v>
      </c>
    </row>
    <row r="97" spans="2:2" x14ac:dyDescent="0.15">
      <c r="B97" s="21">
        <v>95</v>
      </c>
    </row>
    <row r="98" spans="2:2" x14ac:dyDescent="0.15">
      <c r="B98" s="21">
        <v>96</v>
      </c>
    </row>
    <row r="99" spans="2:2" x14ac:dyDescent="0.15">
      <c r="B99" s="21">
        <v>97</v>
      </c>
    </row>
    <row r="100" spans="2:2" x14ac:dyDescent="0.15">
      <c r="B100" s="21">
        <v>98</v>
      </c>
    </row>
    <row r="101" spans="2:2" x14ac:dyDescent="0.15">
      <c r="B101" s="21">
        <v>99</v>
      </c>
    </row>
    <row r="102" spans="2:2" x14ac:dyDescent="0.15">
      <c r="B102" s="21">
        <v>100</v>
      </c>
    </row>
    <row r="103" spans="2:2" x14ac:dyDescent="0.15">
      <c r="B103" s="21"/>
    </row>
    <row r="104" spans="2:2" x14ac:dyDescent="0.15">
      <c r="B104" s="21"/>
    </row>
    <row r="105" spans="2:2" x14ac:dyDescent="0.15">
      <c r="B105" s="21"/>
    </row>
    <row r="106" spans="2:2" x14ac:dyDescent="0.15">
      <c r="B106" s="21"/>
    </row>
    <row r="107" spans="2:2" x14ac:dyDescent="0.15">
      <c r="B107" s="21"/>
    </row>
    <row r="108" spans="2:2" x14ac:dyDescent="0.15">
      <c r="B108" s="21"/>
    </row>
    <row r="109" spans="2:2" x14ac:dyDescent="0.15">
      <c r="B109" s="21"/>
    </row>
    <row r="110" spans="2:2" x14ac:dyDescent="0.15">
      <c r="B110" s="21"/>
    </row>
    <row r="111" spans="2:2" x14ac:dyDescent="0.15">
      <c r="B111" s="21"/>
    </row>
    <row r="112" spans="2:2" x14ac:dyDescent="0.15">
      <c r="B112" s="21"/>
    </row>
    <row r="113" spans="2:2" x14ac:dyDescent="0.15">
      <c r="B113" s="21"/>
    </row>
    <row r="114" spans="2:2" x14ac:dyDescent="0.15">
      <c r="B114" s="21"/>
    </row>
    <row r="115" spans="2:2" x14ac:dyDescent="0.15">
      <c r="B115" s="21"/>
    </row>
    <row r="116" spans="2:2" x14ac:dyDescent="0.15">
      <c r="B116" s="21"/>
    </row>
    <row r="117" spans="2:2" x14ac:dyDescent="0.15">
      <c r="B117" s="21"/>
    </row>
    <row r="118" spans="2:2" x14ac:dyDescent="0.15">
      <c r="B118" s="21"/>
    </row>
    <row r="119" spans="2:2" x14ac:dyDescent="0.15">
      <c r="B119" s="21"/>
    </row>
    <row r="120" spans="2:2" x14ac:dyDescent="0.15">
      <c r="B120" s="21"/>
    </row>
    <row r="121" spans="2:2" x14ac:dyDescent="0.15">
      <c r="B121" s="21"/>
    </row>
    <row r="122" spans="2:2" x14ac:dyDescent="0.15">
      <c r="B122" s="21"/>
    </row>
    <row r="123" spans="2:2" x14ac:dyDescent="0.15">
      <c r="B123" s="21"/>
    </row>
    <row r="124" spans="2:2" x14ac:dyDescent="0.15">
      <c r="B124" s="21"/>
    </row>
    <row r="125" spans="2:2" x14ac:dyDescent="0.15">
      <c r="B125" s="21"/>
    </row>
    <row r="126" spans="2:2" x14ac:dyDescent="0.15">
      <c r="B126" s="21"/>
    </row>
    <row r="127" spans="2:2" x14ac:dyDescent="0.15">
      <c r="B127" s="21"/>
    </row>
    <row r="128" spans="2:2" x14ac:dyDescent="0.15">
      <c r="B128" s="21"/>
    </row>
    <row r="129" spans="2:2" x14ac:dyDescent="0.15">
      <c r="B129" s="21"/>
    </row>
    <row r="130" spans="2:2" x14ac:dyDescent="0.15">
      <c r="B130" s="21"/>
    </row>
    <row r="131" spans="2:2" x14ac:dyDescent="0.15">
      <c r="B131" s="21"/>
    </row>
    <row r="132" spans="2:2" x14ac:dyDescent="0.15">
      <c r="B132" s="21"/>
    </row>
    <row r="133" spans="2:2" x14ac:dyDescent="0.15">
      <c r="B133" s="21"/>
    </row>
    <row r="134" spans="2:2" x14ac:dyDescent="0.15">
      <c r="B134" s="21"/>
    </row>
    <row r="135" spans="2:2" x14ac:dyDescent="0.15">
      <c r="B135" s="21"/>
    </row>
    <row r="136" spans="2:2" x14ac:dyDescent="0.15">
      <c r="B136" s="21"/>
    </row>
    <row r="137" spans="2:2" x14ac:dyDescent="0.15">
      <c r="B137" s="21"/>
    </row>
    <row r="138" spans="2:2" x14ac:dyDescent="0.15">
      <c r="B138" s="21"/>
    </row>
    <row r="139" spans="2:2" x14ac:dyDescent="0.15">
      <c r="B139" s="21"/>
    </row>
    <row r="140" spans="2:2" x14ac:dyDescent="0.15">
      <c r="B140" s="21"/>
    </row>
    <row r="141" spans="2:2" x14ac:dyDescent="0.15">
      <c r="B141" s="21"/>
    </row>
    <row r="142" spans="2:2" x14ac:dyDescent="0.15">
      <c r="B142" s="21"/>
    </row>
    <row r="143" spans="2:2" x14ac:dyDescent="0.15">
      <c r="B143" s="21"/>
    </row>
    <row r="144" spans="2:2" x14ac:dyDescent="0.15">
      <c r="B144" s="21"/>
    </row>
    <row r="145" spans="2:2" x14ac:dyDescent="0.15">
      <c r="B145" s="21"/>
    </row>
    <row r="146" spans="2:2" x14ac:dyDescent="0.15">
      <c r="B146" s="21"/>
    </row>
    <row r="147" spans="2:2" x14ac:dyDescent="0.15">
      <c r="B147" s="21"/>
    </row>
    <row r="148" spans="2:2" x14ac:dyDescent="0.15">
      <c r="B148" s="21"/>
    </row>
    <row r="149" spans="2:2" x14ac:dyDescent="0.15">
      <c r="B149" s="21"/>
    </row>
    <row r="150" spans="2:2" x14ac:dyDescent="0.15">
      <c r="B150" s="21"/>
    </row>
    <row r="151" spans="2:2" x14ac:dyDescent="0.15">
      <c r="B151" s="21"/>
    </row>
    <row r="152" spans="2:2" x14ac:dyDescent="0.15">
      <c r="B152" s="21"/>
    </row>
    <row r="153" spans="2:2" x14ac:dyDescent="0.15">
      <c r="B153" s="21"/>
    </row>
    <row r="154" spans="2:2" x14ac:dyDescent="0.15">
      <c r="B154" s="21"/>
    </row>
    <row r="155" spans="2:2" x14ac:dyDescent="0.15">
      <c r="B155" s="21"/>
    </row>
    <row r="156" spans="2:2" x14ac:dyDescent="0.15">
      <c r="B156" s="21"/>
    </row>
    <row r="157" spans="2:2" x14ac:dyDescent="0.15">
      <c r="B157" s="21"/>
    </row>
    <row r="158" spans="2:2" x14ac:dyDescent="0.15">
      <c r="B158" s="21"/>
    </row>
    <row r="159" spans="2:2" x14ac:dyDescent="0.15">
      <c r="B159" s="21"/>
    </row>
    <row r="160" spans="2:2" x14ac:dyDescent="0.15">
      <c r="B160" s="21"/>
    </row>
    <row r="161" spans="2:2" x14ac:dyDescent="0.15">
      <c r="B161" s="21"/>
    </row>
    <row r="162" spans="2:2" x14ac:dyDescent="0.15">
      <c r="B162" s="21"/>
    </row>
    <row r="163" spans="2:2" x14ac:dyDescent="0.15">
      <c r="B163" s="21"/>
    </row>
    <row r="164" spans="2:2" x14ac:dyDescent="0.15">
      <c r="B164" s="21"/>
    </row>
    <row r="165" spans="2:2" x14ac:dyDescent="0.15">
      <c r="B165" s="21"/>
    </row>
    <row r="166" spans="2:2" x14ac:dyDescent="0.15">
      <c r="B166" s="21"/>
    </row>
    <row r="167" spans="2:2" x14ac:dyDescent="0.15">
      <c r="B167" s="21"/>
    </row>
    <row r="168" spans="2:2" x14ac:dyDescent="0.15">
      <c r="B168" s="21"/>
    </row>
    <row r="169" spans="2:2" x14ac:dyDescent="0.15">
      <c r="B169" s="21"/>
    </row>
    <row r="170" spans="2:2" x14ac:dyDescent="0.15">
      <c r="B170" s="21"/>
    </row>
    <row r="171" spans="2:2" x14ac:dyDescent="0.15">
      <c r="B171" s="21"/>
    </row>
    <row r="172" spans="2:2" x14ac:dyDescent="0.15">
      <c r="B172" s="21"/>
    </row>
    <row r="173" spans="2:2" x14ac:dyDescent="0.15">
      <c r="B173" s="21"/>
    </row>
    <row r="174" spans="2:2" x14ac:dyDescent="0.15">
      <c r="B174" s="21"/>
    </row>
    <row r="175" spans="2:2" x14ac:dyDescent="0.15">
      <c r="B175" s="21"/>
    </row>
    <row r="176" spans="2:2" x14ac:dyDescent="0.15">
      <c r="B176" s="21"/>
    </row>
    <row r="177" spans="2:2" x14ac:dyDescent="0.15">
      <c r="B177" s="21"/>
    </row>
    <row r="178" spans="2:2" x14ac:dyDescent="0.15">
      <c r="B178" s="21"/>
    </row>
    <row r="179" spans="2:2" x14ac:dyDescent="0.15">
      <c r="B179" s="21"/>
    </row>
    <row r="180" spans="2:2" x14ac:dyDescent="0.15">
      <c r="B180" s="21"/>
    </row>
    <row r="181" spans="2:2" x14ac:dyDescent="0.15">
      <c r="B181" s="21"/>
    </row>
    <row r="182" spans="2:2" x14ac:dyDescent="0.15">
      <c r="B182" s="21"/>
    </row>
    <row r="183" spans="2:2" x14ac:dyDescent="0.15">
      <c r="B183" s="21"/>
    </row>
    <row r="184" spans="2:2" x14ac:dyDescent="0.15">
      <c r="B184" s="21"/>
    </row>
    <row r="185" spans="2:2" x14ac:dyDescent="0.15">
      <c r="B185" s="21"/>
    </row>
    <row r="186" spans="2:2" x14ac:dyDescent="0.15">
      <c r="B186" s="21"/>
    </row>
    <row r="187" spans="2:2" x14ac:dyDescent="0.15">
      <c r="B187" s="21"/>
    </row>
    <row r="188" spans="2:2" x14ac:dyDescent="0.15">
      <c r="B188" s="21"/>
    </row>
    <row r="189" spans="2:2" x14ac:dyDescent="0.15">
      <c r="B189" s="21"/>
    </row>
    <row r="190" spans="2:2" x14ac:dyDescent="0.15">
      <c r="B190" s="21"/>
    </row>
    <row r="191" spans="2:2" x14ac:dyDescent="0.15">
      <c r="B191" s="21"/>
    </row>
    <row r="192" spans="2:2" x14ac:dyDescent="0.15">
      <c r="B192" s="21"/>
    </row>
    <row r="193" spans="2:2" x14ac:dyDescent="0.15">
      <c r="B193" s="21"/>
    </row>
    <row r="194" spans="2:2" x14ac:dyDescent="0.15">
      <c r="B194" s="21"/>
    </row>
    <row r="195" spans="2:2" x14ac:dyDescent="0.15">
      <c r="B195" s="21"/>
    </row>
    <row r="196" spans="2:2" x14ac:dyDescent="0.15">
      <c r="B196" s="21"/>
    </row>
    <row r="197" spans="2:2" x14ac:dyDescent="0.15">
      <c r="B197" s="21"/>
    </row>
    <row r="198" spans="2:2" x14ac:dyDescent="0.15">
      <c r="B198" s="21"/>
    </row>
    <row r="199" spans="2:2" x14ac:dyDescent="0.15">
      <c r="B199" s="21"/>
    </row>
    <row r="200" spans="2:2" x14ac:dyDescent="0.15">
      <c r="B200" s="21"/>
    </row>
    <row r="201" spans="2:2" x14ac:dyDescent="0.15">
      <c r="B201" s="21"/>
    </row>
    <row r="202" spans="2:2" x14ac:dyDescent="0.15">
      <c r="B202" s="21"/>
    </row>
    <row r="203" spans="2:2" x14ac:dyDescent="0.15">
      <c r="B203" s="21"/>
    </row>
    <row r="204" spans="2:2" x14ac:dyDescent="0.15">
      <c r="B204" s="21"/>
    </row>
    <row r="205" spans="2:2" x14ac:dyDescent="0.15">
      <c r="B205" s="21"/>
    </row>
    <row r="206" spans="2:2" x14ac:dyDescent="0.15">
      <c r="B206" s="21"/>
    </row>
    <row r="207" spans="2:2" x14ac:dyDescent="0.15">
      <c r="B207" s="21"/>
    </row>
    <row r="208" spans="2:2" x14ac:dyDescent="0.15">
      <c r="B208" s="21"/>
    </row>
    <row r="209" spans="2:2" x14ac:dyDescent="0.15">
      <c r="B209" s="21"/>
    </row>
    <row r="210" spans="2:2" x14ac:dyDescent="0.15">
      <c r="B210" s="21"/>
    </row>
    <row r="211" spans="2:2" x14ac:dyDescent="0.15">
      <c r="B211" s="21"/>
    </row>
    <row r="212" spans="2:2" x14ac:dyDescent="0.15">
      <c r="B212" s="21"/>
    </row>
    <row r="213" spans="2:2" x14ac:dyDescent="0.15">
      <c r="B213" s="21"/>
    </row>
    <row r="214" spans="2:2" x14ac:dyDescent="0.15">
      <c r="B214" s="21"/>
    </row>
    <row r="215" spans="2:2" x14ac:dyDescent="0.15">
      <c r="B215" s="21"/>
    </row>
    <row r="216" spans="2:2" x14ac:dyDescent="0.15">
      <c r="B216" s="21"/>
    </row>
    <row r="217" spans="2:2" x14ac:dyDescent="0.15">
      <c r="B217" s="21"/>
    </row>
    <row r="218" spans="2:2" x14ac:dyDescent="0.15">
      <c r="B218" s="21"/>
    </row>
    <row r="219" spans="2:2" x14ac:dyDescent="0.15">
      <c r="B219" s="21"/>
    </row>
    <row r="220" spans="2:2" x14ac:dyDescent="0.15">
      <c r="B220" s="21"/>
    </row>
    <row r="221" spans="2:2" x14ac:dyDescent="0.15">
      <c r="B221" s="21"/>
    </row>
    <row r="222" spans="2:2" x14ac:dyDescent="0.15">
      <c r="B222" s="21"/>
    </row>
    <row r="223" spans="2:2" x14ac:dyDescent="0.15">
      <c r="B223" s="21"/>
    </row>
    <row r="224" spans="2:2" x14ac:dyDescent="0.15">
      <c r="B224" s="21"/>
    </row>
    <row r="225" spans="2:2" x14ac:dyDescent="0.15">
      <c r="B225" s="21"/>
    </row>
    <row r="226" spans="2:2" x14ac:dyDescent="0.15">
      <c r="B226" s="21"/>
    </row>
    <row r="227" spans="2:2" x14ac:dyDescent="0.15">
      <c r="B227" s="21"/>
    </row>
    <row r="228" spans="2:2" x14ac:dyDescent="0.15">
      <c r="B228" s="21"/>
    </row>
  </sheetData>
  <mergeCells count="1">
    <mergeCell ref="A1:D1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FF00"/>
  </sheetPr>
  <dimension ref="A1:W228"/>
  <sheetViews>
    <sheetView showGridLines="0" workbookViewId="0">
      <selection activeCell="C3" sqref="C3:W102"/>
    </sheetView>
  </sheetViews>
  <sheetFormatPr baseColWidth="10" defaultRowHeight="10.5" x14ac:dyDescent="0.15"/>
  <cols>
    <col min="1" max="1" width="2.140625" style="90" customWidth="1"/>
    <col min="2" max="2" width="15.7109375" style="90" bestFit="1" customWidth="1"/>
    <col min="3" max="3" width="24" style="90" bestFit="1" customWidth="1"/>
    <col min="4" max="22" width="24" style="90" customWidth="1"/>
    <col min="23" max="23" width="15.5703125" style="128" customWidth="1"/>
    <col min="24" max="16384" width="11.42578125" style="90"/>
  </cols>
  <sheetData>
    <row r="1" spans="1:23" s="125" customFormat="1" ht="86.25" customHeight="1" x14ac:dyDescent="0.15">
      <c r="A1" s="159"/>
      <c r="B1" s="159"/>
      <c r="C1" s="159"/>
      <c r="D1" s="159"/>
      <c r="F1" s="51" t="s">
        <v>225</v>
      </c>
      <c r="G1" s="129">
        <f>'Configuración AG'!C3</f>
        <v>100</v>
      </c>
      <c r="H1" s="51" t="s">
        <v>226</v>
      </c>
      <c r="I1" s="139">
        <f>Población!I1</f>
        <v>20</v>
      </c>
      <c r="W1" s="126"/>
    </row>
    <row r="2" spans="1:23" x14ac:dyDescent="0.15">
      <c r="B2" s="65" t="s">
        <v>227</v>
      </c>
      <c r="C2" s="65" t="str">
        <f>'Layout solución (individuo AG)'!F4</f>
        <v>Elemento # 1</v>
      </c>
      <c r="D2" s="65" t="str">
        <f>'Layout solución (individuo AG)'!G4</f>
        <v>Elemento # 2</v>
      </c>
      <c r="E2" s="65" t="str">
        <f>'Layout solución (individuo AG)'!H4</f>
        <v>Elemento # 3</v>
      </c>
      <c r="F2" s="65" t="str">
        <f>'Layout solución (individuo AG)'!I4</f>
        <v>Elemento # 4</v>
      </c>
      <c r="G2" s="65" t="str">
        <f>'Layout solución (individuo AG)'!J4</f>
        <v>Elemento # 5</v>
      </c>
      <c r="H2" s="65" t="str">
        <f>'Layout solución (individuo AG)'!K4</f>
        <v>Elemento # 6</v>
      </c>
      <c r="I2" s="65" t="str">
        <f>'Layout solución (individuo AG)'!L4</f>
        <v>Elemento # 7</v>
      </c>
      <c r="J2" s="65" t="str">
        <f>'Layout solución (individuo AG)'!M4</f>
        <v>Elemento # 8</v>
      </c>
      <c r="K2" s="65" t="str">
        <f>'Layout solución (individuo AG)'!N4</f>
        <v>Elemento # 9</v>
      </c>
      <c r="L2" s="65" t="str">
        <f>'Layout solución (individuo AG)'!O4</f>
        <v>Elemento # 10</v>
      </c>
      <c r="M2" s="65" t="str">
        <f>'Layout solución (individuo AG)'!P4</f>
        <v>Elemento # 11</v>
      </c>
      <c r="N2" s="65" t="str">
        <f>'Layout solución (individuo AG)'!Q4</f>
        <v>Elemento # 12</v>
      </c>
      <c r="O2" s="65" t="str">
        <f>'Layout solución (individuo AG)'!R4</f>
        <v>Elemento # 13</v>
      </c>
      <c r="P2" s="65" t="str">
        <f>'Layout solución (individuo AG)'!S4</f>
        <v>Elemento # 14</v>
      </c>
      <c r="Q2" s="65" t="str">
        <f>'Layout solución (individuo AG)'!T4</f>
        <v>Elemento # 15</v>
      </c>
      <c r="R2" s="65" t="str">
        <f>'Layout solución (individuo AG)'!U4</f>
        <v>Elemento # 16</v>
      </c>
      <c r="S2" s="65" t="str">
        <f>'Layout solución (individuo AG)'!V4</f>
        <v>Elemento # 17</v>
      </c>
      <c r="T2" s="65" t="str">
        <f>'Layout solución (individuo AG)'!W4</f>
        <v>Elemento # 18</v>
      </c>
      <c r="U2" s="65" t="str">
        <f>'Layout solución (individuo AG)'!X4</f>
        <v>Elemento # 19</v>
      </c>
      <c r="V2" s="65" t="str">
        <f>'Layout solución (individuo AG)'!Y4</f>
        <v>Elemento # 20</v>
      </c>
      <c r="W2" s="127" t="s">
        <v>228</v>
      </c>
    </row>
    <row r="3" spans="1:23" x14ac:dyDescent="0.15">
      <c r="B3" s="21">
        <v>1</v>
      </c>
      <c r="C3" s="90" t="s">
        <v>43</v>
      </c>
      <c r="D3" s="90" t="s">
        <v>45</v>
      </c>
      <c r="E3" s="90" t="s">
        <v>46</v>
      </c>
      <c r="F3" s="90" t="s">
        <v>44</v>
      </c>
      <c r="G3" s="90" t="s">
        <v>48</v>
      </c>
      <c r="H3" s="90" t="s">
        <v>49</v>
      </c>
      <c r="I3" s="90" t="s">
        <v>47</v>
      </c>
      <c r="J3" s="90" t="s">
        <v>50</v>
      </c>
      <c r="K3" s="90" t="s">
        <v>224</v>
      </c>
      <c r="L3" s="90" t="s">
        <v>224</v>
      </c>
      <c r="M3" s="90" t="s">
        <v>224</v>
      </c>
      <c r="N3" s="90" t="s">
        <v>224</v>
      </c>
      <c r="O3" s="90" t="s">
        <v>224</v>
      </c>
      <c r="P3" s="90" t="s">
        <v>224</v>
      </c>
      <c r="Q3" s="90" t="s">
        <v>224</v>
      </c>
      <c r="R3" s="90" t="s">
        <v>224</v>
      </c>
      <c r="S3" s="90" t="s">
        <v>224</v>
      </c>
      <c r="T3" s="90" t="s">
        <v>224</v>
      </c>
      <c r="U3" s="90" t="s">
        <v>224</v>
      </c>
      <c r="V3" s="90" t="s">
        <v>224</v>
      </c>
      <c r="W3" s="128">
        <v>309202</v>
      </c>
    </row>
    <row r="4" spans="1:23" x14ac:dyDescent="0.15">
      <c r="B4" s="21">
        <v>2</v>
      </c>
      <c r="C4" s="90" t="s">
        <v>43</v>
      </c>
      <c r="D4" s="90" t="s">
        <v>45</v>
      </c>
      <c r="E4" s="90" t="s">
        <v>46</v>
      </c>
      <c r="F4" s="90" t="s">
        <v>44</v>
      </c>
      <c r="G4" s="90" t="s">
        <v>48</v>
      </c>
      <c r="H4" s="90" t="s">
        <v>49</v>
      </c>
      <c r="I4" s="90" t="s">
        <v>47</v>
      </c>
      <c r="J4" s="90" t="s">
        <v>50</v>
      </c>
      <c r="K4" s="90" t="s">
        <v>224</v>
      </c>
      <c r="L4" s="90" t="s">
        <v>224</v>
      </c>
      <c r="M4" s="90" t="s">
        <v>224</v>
      </c>
      <c r="N4" s="90" t="s">
        <v>224</v>
      </c>
      <c r="O4" s="90" t="s">
        <v>224</v>
      </c>
      <c r="P4" s="90" t="s">
        <v>224</v>
      </c>
      <c r="Q4" s="90" t="s">
        <v>224</v>
      </c>
      <c r="R4" s="90" t="s">
        <v>224</v>
      </c>
      <c r="S4" s="90" t="s">
        <v>224</v>
      </c>
      <c r="T4" s="90" t="s">
        <v>224</v>
      </c>
      <c r="U4" s="90" t="s">
        <v>224</v>
      </c>
      <c r="V4" s="90" t="s">
        <v>224</v>
      </c>
      <c r="W4" s="128">
        <v>309202</v>
      </c>
    </row>
    <row r="5" spans="1:23" x14ac:dyDescent="0.15">
      <c r="B5" s="21">
        <v>3</v>
      </c>
      <c r="C5" s="90" t="s">
        <v>43</v>
      </c>
      <c r="D5" s="90" t="s">
        <v>45</v>
      </c>
      <c r="E5" s="90" t="s">
        <v>46</v>
      </c>
      <c r="F5" s="90" t="s">
        <v>44</v>
      </c>
      <c r="G5" s="90" t="s">
        <v>48</v>
      </c>
      <c r="H5" s="90" t="s">
        <v>49</v>
      </c>
      <c r="I5" s="90" t="s">
        <v>47</v>
      </c>
      <c r="J5" s="90" t="s">
        <v>50</v>
      </c>
      <c r="K5" s="90" t="s">
        <v>224</v>
      </c>
      <c r="L5" s="90" t="s">
        <v>224</v>
      </c>
      <c r="M5" s="90" t="s">
        <v>224</v>
      </c>
      <c r="N5" s="90" t="s">
        <v>224</v>
      </c>
      <c r="O5" s="90" t="s">
        <v>224</v>
      </c>
      <c r="P5" s="90" t="s">
        <v>224</v>
      </c>
      <c r="Q5" s="90" t="s">
        <v>224</v>
      </c>
      <c r="R5" s="90" t="s">
        <v>224</v>
      </c>
      <c r="S5" s="90" t="s">
        <v>224</v>
      </c>
      <c r="T5" s="90" t="s">
        <v>224</v>
      </c>
      <c r="U5" s="90" t="s">
        <v>224</v>
      </c>
      <c r="V5" s="90" t="s">
        <v>224</v>
      </c>
      <c r="W5" s="128">
        <v>309202</v>
      </c>
    </row>
    <row r="6" spans="1:23" x14ac:dyDescent="0.15">
      <c r="B6" s="21">
        <v>4</v>
      </c>
      <c r="C6" s="90" t="s">
        <v>43</v>
      </c>
      <c r="D6" s="90" t="s">
        <v>45</v>
      </c>
      <c r="E6" s="90" t="s">
        <v>46</v>
      </c>
      <c r="F6" s="90" t="s">
        <v>44</v>
      </c>
      <c r="G6" s="90" t="s">
        <v>48</v>
      </c>
      <c r="H6" s="90" t="s">
        <v>49</v>
      </c>
      <c r="I6" s="90" t="s">
        <v>47</v>
      </c>
      <c r="J6" s="90" t="s">
        <v>50</v>
      </c>
      <c r="K6" s="90" t="s">
        <v>224</v>
      </c>
      <c r="L6" s="90" t="s">
        <v>224</v>
      </c>
      <c r="M6" s="90" t="s">
        <v>224</v>
      </c>
      <c r="N6" s="90" t="s">
        <v>224</v>
      </c>
      <c r="O6" s="90" t="s">
        <v>224</v>
      </c>
      <c r="P6" s="90" t="s">
        <v>224</v>
      </c>
      <c r="Q6" s="90" t="s">
        <v>224</v>
      </c>
      <c r="R6" s="90" t="s">
        <v>224</v>
      </c>
      <c r="S6" s="90" t="s">
        <v>224</v>
      </c>
      <c r="T6" s="90" t="s">
        <v>224</v>
      </c>
      <c r="U6" s="90" t="s">
        <v>224</v>
      </c>
      <c r="V6" s="90" t="s">
        <v>224</v>
      </c>
      <c r="W6" s="128">
        <v>309202</v>
      </c>
    </row>
    <row r="7" spans="1:23" x14ac:dyDescent="0.15">
      <c r="B7" s="21">
        <v>5</v>
      </c>
      <c r="C7" s="90" t="s">
        <v>43</v>
      </c>
      <c r="D7" s="90" t="s">
        <v>45</v>
      </c>
      <c r="E7" s="90" t="s">
        <v>46</v>
      </c>
      <c r="F7" s="90" t="s">
        <v>44</v>
      </c>
      <c r="G7" s="90" t="s">
        <v>48</v>
      </c>
      <c r="H7" s="90" t="s">
        <v>49</v>
      </c>
      <c r="I7" s="90" t="s">
        <v>47</v>
      </c>
      <c r="J7" s="90" t="s">
        <v>50</v>
      </c>
      <c r="K7" s="90" t="s">
        <v>224</v>
      </c>
      <c r="L7" s="90" t="s">
        <v>224</v>
      </c>
      <c r="M7" s="90" t="s">
        <v>224</v>
      </c>
      <c r="N7" s="90" t="s">
        <v>224</v>
      </c>
      <c r="O7" s="90" t="s">
        <v>224</v>
      </c>
      <c r="P7" s="90" t="s">
        <v>224</v>
      </c>
      <c r="Q7" s="90" t="s">
        <v>224</v>
      </c>
      <c r="R7" s="90" t="s">
        <v>224</v>
      </c>
      <c r="S7" s="90" t="s">
        <v>224</v>
      </c>
      <c r="T7" s="90" t="s">
        <v>224</v>
      </c>
      <c r="U7" s="90" t="s">
        <v>224</v>
      </c>
      <c r="V7" s="90" t="s">
        <v>224</v>
      </c>
      <c r="W7" s="128">
        <v>309202</v>
      </c>
    </row>
    <row r="8" spans="1:23" x14ac:dyDescent="0.15">
      <c r="B8" s="21">
        <v>6</v>
      </c>
      <c r="C8" s="90" t="s">
        <v>43</v>
      </c>
      <c r="D8" s="90" t="s">
        <v>45</v>
      </c>
      <c r="E8" s="90" t="s">
        <v>46</v>
      </c>
      <c r="F8" s="90" t="s">
        <v>44</v>
      </c>
      <c r="G8" s="90" t="s">
        <v>48</v>
      </c>
      <c r="H8" s="90" t="s">
        <v>49</v>
      </c>
      <c r="I8" s="90" t="s">
        <v>47</v>
      </c>
      <c r="J8" s="90" t="s">
        <v>50</v>
      </c>
      <c r="K8" s="90" t="s">
        <v>224</v>
      </c>
      <c r="L8" s="90" t="s">
        <v>224</v>
      </c>
      <c r="M8" s="90" t="s">
        <v>224</v>
      </c>
      <c r="N8" s="90" t="s">
        <v>224</v>
      </c>
      <c r="O8" s="90" t="s">
        <v>224</v>
      </c>
      <c r="P8" s="90" t="s">
        <v>224</v>
      </c>
      <c r="Q8" s="90" t="s">
        <v>224</v>
      </c>
      <c r="R8" s="90" t="s">
        <v>224</v>
      </c>
      <c r="S8" s="90" t="s">
        <v>224</v>
      </c>
      <c r="T8" s="90" t="s">
        <v>224</v>
      </c>
      <c r="U8" s="90" t="s">
        <v>224</v>
      </c>
      <c r="V8" s="90" t="s">
        <v>224</v>
      </c>
      <c r="W8" s="128">
        <v>309202</v>
      </c>
    </row>
    <row r="9" spans="1:23" x14ac:dyDescent="0.15">
      <c r="B9" s="21">
        <v>7</v>
      </c>
      <c r="C9" s="90" t="s">
        <v>43</v>
      </c>
      <c r="D9" s="90" t="s">
        <v>45</v>
      </c>
      <c r="E9" s="90" t="s">
        <v>46</v>
      </c>
      <c r="F9" s="90" t="s">
        <v>44</v>
      </c>
      <c r="G9" s="90" t="s">
        <v>48</v>
      </c>
      <c r="H9" s="90" t="s">
        <v>49</v>
      </c>
      <c r="I9" s="90" t="s">
        <v>47</v>
      </c>
      <c r="J9" s="90" t="s">
        <v>50</v>
      </c>
      <c r="K9" s="90" t="s">
        <v>224</v>
      </c>
      <c r="L9" s="90" t="s">
        <v>224</v>
      </c>
      <c r="M9" s="90" t="s">
        <v>224</v>
      </c>
      <c r="N9" s="90" t="s">
        <v>224</v>
      </c>
      <c r="O9" s="90" t="s">
        <v>224</v>
      </c>
      <c r="P9" s="90" t="s">
        <v>224</v>
      </c>
      <c r="Q9" s="90" t="s">
        <v>224</v>
      </c>
      <c r="R9" s="90" t="s">
        <v>224</v>
      </c>
      <c r="S9" s="90" t="s">
        <v>224</v>
      </c>
      <c r="T9" s="90" t="s">
        <v>224</v>
      </c>
      <c r="U9" s="90" t="s">
        <v>224</v>
      </c>
      <c r="V9" s="90" t="s">
        <v>224</v>
      </c>
      <c r="W9" s="128">
        <v>309202</v>
      </c>
    </row>
    <row r="10" spans="1:23" x14ac:dyDescent="0.15">
      <c r="B10" s="21">
        <v>8</v>
      </c>
      <c r="C10" s="90" t="s">
        <v>43</v>
      </c>
      <c r="D10" s="90" t="s">
        <v>45</v>
      </c>
      <c r="E10" s="90" t="s">
        <v>46</v>
      </c>
      <c r="F10" s="90" t="s">
        <v>44</v>
      </c>
      <c r="G10" s="90" t="s">
        <v>48</v>
      </c>
      <c r="H10" s="90" t="s">
        <v>49</v>
      </c>
      <c r="I10" s="90" t="s">
        <v>47</v>
      </c>
      <c r="J10" s="90" t="s">
        <v>50</v>
      </c>
      <c r="K10" s="90" t="s">
        <v>224</v>
      </c>
      <c r="L10" s="90" t="s">
        <v>224</v>
      </c>
      <c r="M10" s="90" t="s">
        <v>224</v>
      </c>
      <c r="N10" s="90" t="s">
        <v>224</v>
      </c>
      <c r="O10" s="90" t="s">
        <v>224</v>
      </c>
      <c r="P10" s="90" t="s">
        <v>224</v>
      </c>
      <c r="Q10" s="90" t="s">
        <v>224</v>
      </c>
      <c r="R10" s="90" t="s">
        <v>224</v>
      </c>
      <c r="S10" s="90" t="s">
        <v>224</v>
      </c>
      <c r="T10" s="90" t="s">
        <v>224</v>
      </c>
      <c r="U10" s="90" t="s">
        <v>224</v>
      </c>
      <c r="V10" s="90" t="s">
        <v>224</v>
      </c>
      <c r="W10" s="128">
        <v>309202</v>
      </c>
    </row>
    <row r="11" spans="1:23" x14ac:dyDescent="0.15">
      <c r="B11" s="21">
        <v>9</v>
      </c>
      <c r="C11" s="90" t="s">
        <v>43</v>
      </c>
      <c r="D11" s="90" t="s">
        <v>45</v>
      </c>
      <c r="E11" s="90" t="s">
        <v>46</v>
      </c>
      <c r="F11" s="90" t="s">
        <v>44</v>
      </c>
      <c r="G11" s="90" t="s">
        <v>48</v>
      </c>
      <c r="H11" s="90" t="s">
        <v>49</v>
      </c>
      <c r="I11" s="90" t="s">
        <v>47</v>
      </c>
      <c r="J11" s="90" t="s">
        <v>50</v>
      </c>
      <c r="K11" s="90" t="s">
        <v>224</v>
      </c>
      <c r="L11" s="90" t="s">
        <v>224</v>
      </c>
      <c r="M11" s="90" t="s">
        <v>224</v>
      </c>
      <c r="N11" s="90" t="s">
        <v>224</v>
      </c>
      <c r="O11" s="90" t="s">
        <v>224</v>
      </c>
      <c r="P11" s="90" t="s">
        <v>224</v>
      </c>
      <c r="Q11" s="90" t="s">
        <v>224</v>
      </c>
      <c r="R11" s="90" t="s">
        <v>224</v>
      </c>
      <c r="S11" s="90" t="s">
        <v>224</v>
      </c>
      <c r="T11" s="90" t="s">
        <v>224</v>
      </c>
      <c r="U11" s="90" t="s">
        <v>224</v>
      </c>
      <c r="V11" s="90" t="s">
        <v>224</v>
      </c>
      <c r="W11" s="128">
        <v>309202</v>
      </c>
    </row>
    <row r="12" spans="1:23" x14ac:dyDescent="0.15">
      <c r="B12" s="21">
        <v>10</v>
      </c>
      <c r="C12" s="90" t="s">
        <v>43</v>
      </c>
      <c r="D12" s="90" t="s">
        <v>45</v>
      </c>
      <c r="E12" s="90" t="s">
        <v>46</v>
      </c>
      <c r="F12" s="90" t="s">
        <v>44</v>
      </c>
      <c r="G12" s="90" t="s">
        <v>48</v>
      </c>
      <c r="H12" s="90" t="s">
        <v>49</v>
      </c>
      <c r="I12" s="90" t="s">
        <v>47</v>
      </c>
      <c r="J12" s="90" t="s">
        <v>50</v>
      </c>
      <c r="K12" s="90" t="s">
        <v>224</v>
      </c>
      <c r="L12" s="90" t="s">
        <v>224</v>
      </c>
      <c r="M12" s="90" t="s">
        <v>224</v>
      </c>
      <c r="N12" s="90" t="s">
        <v>224</v>
      </c>
      <c r="O12" s="90" t="s">
        <v>224</v>
      </c>
      <c r="P12" s="90" t="s">
        <v>224</v>
      </c>
      <c r="Q12" s="90" t="s">
        <v>224</v>
      </c>
      <c r="R12" s="90" t="s">
        <v>224</v>
      </c>
      <c r="S12" s="90" t="s">
        <v>224</v>
      </c>
      <c r="T12" s="90" t="s">
        <v>224</v>
      </c>
      <c r="U12" s="90" t="s">
        <v>224</v>
      </c>
      <c r="V12" s="90" t="s">
        <v>224</v>
      </c>
      <c r="W12" s="128">
        <v>309202</v>
      </c>
    </row>
    <row r="13" spans="1:23" x14ac:dyDescent="0.15">
      <c r="B13" s="21">
        <v>11</v>
      </c>
      <c r="C13" s="90" t="s">
        <v>43</v>
      </c>
      <c r="D13" s="90" t="s">
        <v>45</v>
      </c>
      <c r="E13" s="90" t="s">
        <v>46</v>
      </c>
      <c r="F13" s="90" t="s">
        <v>44</v>
      </c>
      <c r="G13" s="90" t="s">
        <v>48</v>
      </c>
      <c r="H13" s="90" t="s">
        <v>49</v>
      </c>
      <c r="I13" s="90" t="s">
        <v>47</v>
      </c>
      <c r="J13" s="90" t="s">
        <v>50</v>
      </c>
      <c r="K13" s="90" t="s">
        <v>224</v>
      </c>
      <c r="L13" s="90" t="s">
        <v>224</v>
      </c>
      <c r="M13" s="90" t="s">
        <v>224</v>
      </c>
      <c r="N13" s="90" t="s">
        <v>224</v>
      </c>
      <c r="O13" s="90" t="s">
        <v>224</v>
      </c>
      <c r="P13" s="90" t="s">
        <v>224</v>
      </c>
      <c r="Q13" s="90" t="s">
        <v>224</v>
      </c>
      <c r="R13" s="90" t="s">
        <v>224</v>
      </c>
      <c r="S13" s="90" t="s">
        <v>224</v>
      </c>
      <c r="T13" s="90" t="s">
        <v>224</v>
      </c>
      <c r="U13" s="90" t="s">
        <v>224</v>
      </c>
      <c r="V13" s="90" t="s">
        <v>224</v>
      </c>
      <c r="W13" s="128">
        <v>309202</v>
      </c>
    </row>
    <row r="14" spans="1:23" x14ac:dyDescent="0.15">
      <c r="B14" s="21">
        <v>12</v>
      </c>
      <c r="C14" s="90" t="s">
        <v>43</v>
      </c>
      <c r="D14" s="90" t="s">
        <v>45</v>
      </c>
      <c r="E14" s="90" t="s">
        <v>46</v>
      </c>
      <c r="F14" s="90" t="s">
        <v>44</v>
      </c>
      <c r="G14" s="90" t="s">
        <v>48</v>
      </c>
      <c r="H14" s="90" t="s">
        <v>49</v>
      </c>
      <c r="I14" s="90" t="s">
        <v>47</v>
      </c>
      <c r="J14" s="90" t="s">
        <v>50</v>
      </c>
      <c r="K14" s="90" t="s">
        <v>224</v>
      </c>
      <c r="L14" s="90" t="s">
        <v>224</v>
      </c>
      <c r="M14" s="90" t="s">
        <v>224</v>
      </c>
      <c r="N14" s="90" t="s">
        <v>224</v>
      </c>
      <c r="O14" s="90" t="s">
        <v>224</v>
      </c>
      <c r="P14" s="90" t="s">
        <v>224</v>
      </c>
      <c r="Q14" s="90" t="s">
        <v>224</v>
      </c>
      <c r="R14" s="90" t="s">
        <v>224</v>
      </c>
      <c r="S14" s="90" t="s">
        <v>224</v>
      </c>
      <c r="T14" s="90" t="s">
        <v>224</v>
      </c>
      <c r="U14" s="90" t="s">
        <v>224</v>
      </c>
      <c r="V14" s="90" t="s">
        <v>224</v>
      </c>
      <c r="W14" s="128">
        <v>309202</v>
      </c>
    </row>
    <row r="15" spans="1:23" x14ac:dyDescent="0.15">
      <c r="B15" s="21">
        <v>13</v>
      </c>
      <c r="C15" s="90" t="s">
        <v>43</v>
      </c>
      <c r="D15" s="90" t="s">
        <v>45</v>
      </c>
      <c r="E15" s="90" t="s">
        <v>46</v>
      </c>
      <c r="F15" s="90" t="s">
        <v>44</v>
      </c>
      <c r="G15" s="90" t="s">
        <v>48</v>
      </c>
      <c r="H15" s="90" t="s">
        <v>49</v>
      </c>
      <c r="I15" s="90" t="s">
        <v>47</v>
      </c>
      <c r="J15" s="90" t="s">
        <v>50</v>
      </c>
      <c r="K15" s="90" t="s">
        <v>224</v>
      </c>
      <c r="L15" s="90" t="s">
        <v>224</v>
      </c>
      <c r="M15" s="90" t="s">
        <v>224</v>
      </c>
      <c r="N15" s="90" t="s">
        <v>224</v>
      </c>
      <c r="O15" s="90" t="s">
        <v>224</v>
      </c>
      <c r="P15" s="90" t="s">
        <v>224</v>
      </c>
      <c r="Q15" s="90" t="s">
        <v>224</v>
      </c>
      <c r="R15" s="90" t="s">
        <v>224</v>
      </c>
      <c r="S15" s="90" t="s">
        <v>224</v>
      </c>
      <c r="T15" s="90" t="s">
        <v>224</v>
      </c>
      <c r="U15" s="90" t="s">
        <v>224</v>
      </c>
      <c r="V15" s="90" t="s">
        <v>224</v>
      </c>
      <c r="W15" s="128">
        <v>309202</v>
      </c>
    </row>
    <row r="16" spans="1:23" x14ac:dyDescent="0.15">
      <c r="B16" s="21">
        <v>14</v>
      </c>
      <c r="C16" s="90" t="s">
        <v>43</v>
      </c>
      <c r="D16" s="90" t="s">
        <v>45</v>
      </c>
      <c r="E16" s="90" t="s">
        <v>46</v>
      </c>
      <c r="F16" s="90" t="s">
        <v>44</v>
      </c>
      <c r="G16" s="90" t="s">
        <v>48</v>
      </c>
      <c r="H16" s="90" t="s">
        <v>49</v>
      </c>
      <c r="I16" s="90" t="s">
        <v>47</v>
      </c>
      <c r="J16" s="90" t="s">
        <v>50</v>
      </c>
      <c r="K16" s="90" t="s">
        <v>224</v>
      </c>
      <c r="L16" s="90" t="s">
        <v>224</v>
      </c>
      <c r="M16" s="90" t="s">
        <v>224</v>
      </c>
      <c r="N16" s="90" t="s">
        <v>224</v>
      </c>
      <c r="O16" s="90" t="s">
        <v>224</v>
      </c>
      <c r="P16" s="90" t="s">
        <v>224</v>
      </c>
      <c r="Q16" s="90" t="s">
        <v>224</v>
      </c>
      <c r="R16" s="90" t="s">
        <v>224</v>
      </c>
      <c r="S16" s="90" t="s">
        <v>224</v>
      </c>
      <c r="T16" s="90" t="s">
        <v>224</v>
      </c>
      <c r="U16" s="90" t="s">
        <v>224</v>
      </c>
      <c r="V16" s="90" t="s">
        <v>224</v>
      </c>
      <c r="W16" s="128">
        <v>309202</v>
      </c>
    </row>
    <row r="17" spans="2:23" x14ac:dyDescent="0.15">
      <c r="B17" s="21">
        <v>15</v>
      </c>
      <c r="C17" s="90" t="s">
        <v>43</v>
      </c>
      <c r="D17" s="90" t="s">
        <v>45</v>
      </c>
      <c r="E17" s="90" t="s">
        <v>46</v>
      </c>
      <c r="F17" s="90" t="s">
        <v>44</v>
      </c>
      <c r="G17" s="90" t="s">
        <v>48</v>
      </c>
      <c r="H17" s="90" t="s">
        <v>49</v>
      </c>
      <c r="I17" s="90" t="s">
        <v>47</v>
      </c>
      <c r="J17" s="90" t="s">
        <v>50</v>
      </c>
      <c r="K17" s="90" t="s">
        <v>224</v>
      </c>
      <c r="L17" s="90" t="s">
        <v>224</v>
      </c>
      <c r="M17" s="90" t="s">
        <v>224</v>
      </c>
      <c r="N17" s="90" t="s">
        <v>224</v>
      </c>
      <c r="O17" s="90" t="s">
        <v>224</v>
      </c>
      <c r="P17" s="90" t="s">
        <v>224</v>
      </c>
      <c r="Q17" s="90" t="s">
        <v>224</v>
      </c>
      <c r="R17" s="90" t="s">
        <v>224</v>
      </c>
      <c r="S17" s="90" t="s">
        <v>224</v>
      </c>
      <c r="T17" s="90" t="s">
        <v>224</v>
      </c>
      <c r="U17" s="90" t="s">
        <v>224</v>
      </c>
      <c r="V17" s="90" t="s">
        <v>224</v>
      </c>
      <c r="W17" s="128">
        <v>309202</v>
      </c>
    </row>
    <row r="18" spans="2:23" x14ac:dyDescent="0.15">
      <c r="B18" s="21">
        <v>16</v>
      </c>
      <c r="C18" s="90" t="s">
        <v>43</v>
      </c>
      <c r="D18" s="90" t="s">
        <v>45</v>
      </c>
      <c r="E18" s="90" t="s">
        <v>46</v>
      </c>
      <c r="F18" s="90" t="s">
        <v>44</v>
      </c>
      <c r="G18" s="90" t="s">
        <v>48</v>
      </c>
      <c r="H18" s="90" t="s">
        <v>49</v>
      </c>
      <c r="I18" s="90" t="s">
        <v>47</v>
      </c>
      <c r="J18" s="90" t="s">
        <v>50</v>
      </c>
      <c r="K18" s="90" t="s">
        <v>224</v>
      </c>
      <c r="L18" s="90" t="s">
        <v>224</v>
      </c>
      <c r="M18" s="90" t="s">
        <v>224</v>
      </c>
      <c r="N18" s="90" t="s">
        <v>224</v>
      </c>
      <c r="O18" s="90" t="s">
        <v>224</v>
      </c>
      <c r="P18" s="90" t="s">
        <v>224</v>
      </c>
      <c r="Q18" s="90" t="s">
        <v>224</v>
      </c>
      <c r="R18" s="90" t="s">
        <v>224</v>
      </c>
      <c r="S18" s="90" t="s">
        <v>224</v>
      </c>
      <c r="T18" s="90" t="s">
        <v>224</v>
      </c>
      <c r="U18" s="90" t="s">
        <v>224</v>
      </c>
      <c r="V18" s="90" t="s">
        <v>224</v>
      </c>
      <c r="W18" s="128">
        <v>309202</v>
      </c>
    </row>
    <row r="19" spans="2:23" x14ac:dyDescent="0.15">
      <c r="B19" s="21">
        <v>17</v>
      </c>
      <c r="C19" s="90" t="s">
        <v>43</v>
      </c>
      <c r="D19" s="90" t="s">
        <v>45</v>
      </c>
      <c r="E19" s="90" t="s">
        <v>46</v>
      </c>
      <c r="F19" s="90" t="s">
        <v>44</v>
      </c>
      <c r="G19" s="90" t="s">
        <v>48</v>
      </c>
      <c r="H19" s="90" t="s">
        <v>49</v>
      </c>
      <c r="I19" s="90" t="s">
        <v>47</v>
      </c>
      <c r="J19" s="90" t="s">
        <v>50</v>
      </c>
      <c r="K19" s="90" t="s">
        <v>224</v>
      </c>
      <c r="L19" s="90" t="s">
        <v>224</v>
      </c>
      <c r="M19" s="90" t="s">
        <v>224</v>
      </c>
      <c r="N19" s="90" t="s">
        <v>224</v>
      </c>
      <c r="O19" s="90" t="s">
        <v>224</v>
      </c>
      <c r="P19" s="90" t="s">
        <v>224</v>
      </c>
      <c r="Q19" s="90" t="s">
        <v>224</v>
      </c>
      <c r="R19" s="90" t="s">
        <v>224</v>
      </c>
      <c r="S19" s="90" t="s">
        <v>224</v>
      </c>
      <c r="T19" s="90" t="s">
        <v>224</v>
      </c>
      <c r="U19" s="90" t="s">
        <v>224</v>
      </c>
      <c r="V19" s="90" t="s">
        <v>224</v>
      </c>
      <c r="W19" s="128">
        <v>309202</v>
      </c>
    </row>
    <row r="20" spans="2:23" x14ac:dyDescent="0.15">
      <c r="B20" s="21">
        <v>18</v>
      </c>
      <c r="C20" s="90" t="s">
        <v>43</v>
      </c>
      <c r="D20" s="90" t="s">
        <v>45</v>
      </c>
      <c r="E20" s="90" t="s">
        <v>46</v>
      </c>
      <c r="F20" s="90" t="s">
        <v>44</v>
      </c>
      <c r="G20" s="90" t="s">
        <v>48</v>
      </c>
      <c r="H20" s="90" t="s">
        <v>49</v>
      </c>
      <c r="I20" s="90" t="s">
        <v>47</v>
      </c>
      <c r="J20" s="90" t="s">
        <v>50</v>
      </c>
      <c r="K20" s="90" t="s">
        <v>224</v>
      </c>
      <c r="L20" s="90" t="s">
        <v>224</v>
      </c>
      <c r="M20" s="90" t="s">
        <v>224</v>
      </c>
      <c r="N20" s="90" t="s">
        <v>224</v>
      </c>
      <c r="O20" s="90" t="s">
        <v>224</v>
      </c>
      <c r="P20" s="90" t="s">
        <v>224</v>
      </c>
      <c r="Q20" s="90" t="s">
        <v>224</v>
      </c>
      <c r="R20" s="90" t="s">
        <v>224</v>
      </c>
      <c r="S20" s="90" t="s">
        <v>224</v>
      </c>
      <c r="T20" s="90" t="s">
        <v>224</v>
      </c>
      <c r="U20" s="90" t="s">
        <v>224</v>
      </c>
      <c r="V20" s="90" t="s">
        <v>224</v>
      </c>
      <c r="W20" s="128">
        <v>309202</v>
      </c>
    </row>
    <row r="21" spans="2:23" x14ac:dyDescent="0.15">
      <c r="B21" s="21">
        <v>19</v>
      </c>
      <c r="C21" s="90" t="s">
        <v>43</v>
      </c>
      <c r="D21" s="90" t="s">
        <v>45</v>
      </c>
      <c r="E21" s="90" t="s">
        <v>46</v>
      </c>
      <c r="F21" s="90" t="s">
        <v>44</v>
      </c>
      <c r="G21" s="90" t="s">
        <v>48</v>
      </c>
      <c r="H21" s="90" t="s">
        <v>49</v>
      </c>
      <c r="I21" s="90" t="s">
        <v>47</v>
      </c>
      <c r="J21" s="90" t="s">
        <v>50</v>
      </c>
      <c r="K21" s="90" t="s">
        <v>224</v>
      </c>
      <c r="L21" s="90" t="s">
        <v>224</v>
      </c>
      <c r="M21" s="90" t="s">
        <v>224</v>
      </c>
      <c r="N21" s="90" t="s">
        <v>224</v>
      </c>
      <c r="O21" s="90" t="s">
        <v>224</v>
      </c>
      <c r="P21" s="90" t="s">
        <v>224</v>
      </c>
      <c r="Q21" s="90" t="s">
        <v>224</v>
      </c>
      <c r="R21" s="90" t="s">
        <v>224</v>
      </c>
      <c r="S21" s="90" t="s">
        <v>224</v>
      </c>
      <c r="T21" s="90" t="s">
        <v>224</v>
      </c>
      <c r="U21" s="90" t="s">
        <v>224</v>
      </c>
      <c r="V21" s="90" t="s">
        <v>224</v>
      </c>
      <c r="W21" s="128">
        <v>309202</v>
      </c>
    </row>
    <row r="22" spans="2:23" x14ac:dyDescent="0.15">
      <c r="B22" s="21">
        <v>20</v>
      </c>
      <c r="C22" s="90" t="s">
        <v>43</v>
      </c>
      <c r="D22" s="90" t="s">
        <v>45</v>
      </c>
      <c r="E22" s="90" t="s">
        <v>46</v>
      </c>
      <c r="F22" s="90" t="s">
        <v>44</v>
      </c>
      <c r="G22" s="90" t="s">
        <v>48</v>
      </c>
      <c r="H22" s="90" t="s">
        <v>49</v>
      </c>
      <c r="I22" s="90" t="s">
        <v>47</v>
      </c>
      <c r="J22" s="90" t="s">
        <v>50</v>
      </c>
      <c r="K22" s="90" t="s">
        <v>224</v>
      </c>
      <c r="L22" s="90" t="s">
        <v>224</v>
      </c>
      <c r="M22" s="90" t="s">
        <v>224</v>
      </c>
      <c r="N22" s="90" t="s">
        <v>224</v>
      </c>
      <c r="O22" s="90" t="s">
        <v>224</v>
      </c>
      <c r="P22" s="90" t="s">
        <v>224</v>
      </c>
      <c r="Q22" s="90" t="s">
        <v>224</v>
      </c>
      <c r="R22" s="90" t="s">
        <v>224</v>
      </c>
      <c r="S22" s="90" t="s">
        <v>224</v>
      </c>
      <c r="T22" s="90" t="s">
        <v>224</v>
      </c>
      <c r="U22" s="90" t="s">
        <v>224</v>
      </c>
      <c r="V22" s="90" t="s">
        <v>224</v>
      </c>
      <c r="W22" s="128">
        <v>309202</v>
      </c>
    </row>
    <row r="23" spans="2:23" x14ac:dyDescent="0.15">
      <c r="B23" s="21">
        <v>21</v>
      </c>
      <c r="C23" s="90" t="s">
        <v>43</v>
      </c>
      <c r="D23" s="90" t="s">
        <v>45</v>
      </c>
      <c r="E23" s="90" t="s">
        <v>46</v>
      </c>
      <c r="F23" s="90" t="s">
        <v>44</v>
      </c>
      <c r="G23" s="90" t="s">
        <v>48</v>
      </c>
      <c r="H23" s="90" t="s">
        <v>49</v>
      </c>
      <c r="I23" s="90" t="s">
        <v>47</v>
      </c>
      <c r="J23" s="90" t="s">
        <v>50</v>
      </c>
      <c r="K23" s="90" t="s">
        <v>224</v>
      </c>
      <c r="L23" s="90" t="s">
        <v>224</v>
      </c>
      <c r="M23" s="90" t="s">
        <v>224</v>
      </c>
      <c r="N23" s="90" t="s">
        <v>224</v>
      </c>
      <c r="O23" s="90" t="s">
        <v>224</v>
      </c>
      <c r="P23" s="90" t="s">
        <v>224</v>
      </c>
      <c r="Q23" s="90" t="s">
        <v>224</v>
      </c>
      <c r="R23" s="90" t="s">
        <v>224</v>
      </c>
      <c r="S23" s="90" t="s">
        <v>224</v>
      </c>
      <c r="T23" s="90" t="s">
        <v>224</v>
      </c>
      <c r="U23" s="90" t="s">
        <v>224</v>
      </c>
      <c r="V23" s="90" t="s">
        <v>224</v>
      </c>
      <c r="W23" s="128">
        <v>309202</v>
      </c>
    </row>
    <row r="24" spans="2:23" x14ac:dyDescent="0.15">
      <c r="B24" s="21">
        <v>22</v>
      </c>
      <c r="C24" s="90" t="s">
        <v>43</v>
      </c>
      <c r="D24" s="90" t="s">
        <v>45</v>
      </c>
      <c r="E24" s="90" t="s">
        <v>46</v>
      </c>
      <c r="F24" s="90" t="s">
        <v>44</v>
      </c>
      <c r="G24" s="90" t="s">
        <v>48</v>
      </c>
      <c r="H24" s="90" t="s">
        <v>49</v>
      </c>
      <c r="I24" s="90" t="s">
        <v>47</v>
      </c>
      <c r="J24" s="90" t="s">
        <v>50</v>
      </c>
      <c r="K24" s="90" t="s">
        <v>224</v>
      </c>
      <c r="L24" s="90" t="s">
        <v>224</v>
      </c>
      <c r="M24" s="90" t="s">
        <v>224</v>
      </c>
      <c r="N24" s="90" t="s">
        <v>224</v>
      </c>
      <c r="O24" s="90" t="s">
        <v>224</v>
      </c>
      <c r="P24" s="90" t="s">
        <v>224</v>
      </c>
      <c r="Q24" s="90" t="s">
        <v>224</v>
      </c>
      <c r="R24" s="90" t="s">
        <v>224</v>
      </c>
      <c r="S24" s="90" t="s">
        <v>224</v>
      </c>
      <c r="T24" s="90" t="s">
        <v>224</v>
      </c>
      <c r="U24" s="90" t="s">
        <v>224</v>
      </c>
      <c r="V24" s="90" t="s">
        <v>224</v>
      </c>
      <c r="W24" s="128">
        <v>309202</v>
      </c>
    </row>
    <row r="25" spans="2:23" x14ac:dyDescent="0.15">
      <c r="B25" s="21">
        <v>23</v>
      </c>
      <c r="C25" s="90" t="s">
        <v>43</v>
      </c>
      <c r="D25" s="90" t="s">
        <v>45</v>
      </c>
      <c r="E25" s="90" t="s">
        <v>46</v>
      </c>
      <c r="F25" s="90" t="s">
        <v>44</v>
      </c>
      <c r="G25" s="90" t="s">
        <v>48</v>
      </c>
      <c r="H25" s="90" t="s">
        <v>49</v>
      </c>
      <c r="I25" s="90" t="s">
        <v>47</v>
      </c>
      <c r="J25" s="90" t="s">
        <v>50</v>
      </c>
      <c r="K25" s="90" t="s">
        <v>224</v>
      </c>
      <c r="L25" s="90" t="s">
        <v>224</v>
      </c>
      <c r="M25" s="90" t="s">
        <v>224</v>
      </c>
      <c r="N25" s="90" t="s">
        <v>224</v>
      </c>
      <c r="O25" s="90" t="s">
        <v>224</v>
      </c>
      <c r="P25" s="90" t="s">
        <v>224</v>
      </c>
      <c r="Q25" s="90" t="s">
        <v>224</v>
      </c>
      <c r="R25" s="90" t="s">
        <v>224</v>
      </c>
      <c r="S25" s="90" t="s">
        <v>224</v>
      </c>
      <c r="T25" s="90" t="s">
        <v>224</v>
      </c>
      <c r="U25" s="90" t="s">
        <v>224</v>
      </c>
      <c r="V25" s="90" t="s">
        <v>224</v>
      </c>
      <c r="W25" s="128">
        <v>309202</v>
      </c>
    </row>
    <row r="26" spans="2:23" x14ac:dyDescent="0.15">
      <c r="B26" s="21">
        <v>24</v>
      </c>
      <c r="C26" s="90" t="s">
        <v>43</v>
      </c>
      <c r="D26" s="90" t="s">
        <v>45</v>
      </c>
      <c r="E26" s="90" t="s">
        <v>46</v>
      </c>
      <c r="F26" s="90" t="s">
        <v>44</v>
      </c>
      <c r="G26" s="90" t="s">
        <v>48</v>
      </c>
      <c r="H26" s="90" t="s">
        <v>49</v>
      </c>
      <c r="I26" s="90" t="s">
        <v>47</v>
      </c>
      <c r="J26" s="90" t="s">
        <v>50</v>
      </c>
      <c r="K26" s="90" t="s">
        <v>224</v>
      </c>
      <c r="L26" s="90" t="s">
        <v>224</v>
      </c>
      <c r="M26" s="90" t="s">
        <v>224</v>
      </c>
      <c r="N26" s="90" t="s">
        <v>224</v>
      </c>
      <c r="O26" s="90" t="s">
        <v>224</v>
      </c>
      <c r="P26" s="90" t="s">
        <v>224</v>
      </c>
      <c r="Q26" s="90" t="s">
        <v>224</v>
      </c>
      <c r="R26" s="90" t="s">
        <v>224</v>
      </c>
      <c r="S26" s="90" t="s">
        <v>224</v>
      </c>
      <c r="T26" s="90" t="s">
        <v>224</v>
      </c>
      <c r="U26" s="90" t="s">
        <v>224</v>
      </c>
      <c r="V26" s="90" t="s">
        <v>224</v>
      </c>
      <c r="W26" s="128">
        <v>309202</v>
      </c>
    </row>
    <row r="27" spans="2:23" x14ac:dyDescent="0.15">
      <c r="B27" s="21">
        <v>25</v>
      </c>
      <c r="C27" s="90" t="s">
        <v>43</v>
      </c>
      <c r="D27" s="90" t="s">
        <v>45</v>
      </c>
      <c r="E27" s="90" t="s">
        <v>46</v>
      </c>
      <c r="F27" s="90" t="s">
        <v>44</v>
      </c>
      <c r="G27" s="90" t="s">
        <v>48</v>
      </c>
      <c r="H27" s="90" t="s">
        <v>49</v>
      </c>
      <c r="I27" s="90" t="s">
        <v>47</v>
      </c>
      <c r="J27" s="90" t="s">
        <v>50</v>
      </c>
      <c r="K27" s="90" t="s">
        <v>224</v>
      </c>
      <c r="L27" s="90" t="s">
        <v>224</v>
      </c>
      <c r="M27" s="90" t="s">
        <v>224</v>
      </c>
      <c r="N27" s="90" t="s">
        <v>224</v>
      </c>
      <c r="O27" s="90" t="s">
        <v>224</v>
      </c>
      <c r="P27" s="90" t="s">
        <v>224</v>
      </c>
      <c r="Q27" s="90" t="s">
        <v>224</v>
      </c>
      <c r="R27" s="90" t="s">
        <v>224</v>
      </c>
      <c r="S27" s="90" t="s">
        <v>224</v>
      </c>
      <c r="T27" s="90" t="s">
        <v>224</v>
      </c>
      <c r="U27" s="90" t="s">
        <v>224</v>
      </c>
      <c r="V27" s="90" t="s">
        <v>224</v>
      </c>
      <c r="W27" s="128">
        <v>309202</v>
      </c>
    </row>
    <row r="28" spans="2:23" x14ac:dyDescent="0.15">
      <c r="B28" s="21">
        <v>26</v>
      </c>
      <c r="C28" s="90" t="s">
        <v>43</v>
      </c>
      <c r="D28" s="90" t="s">
        <v>45</v>
      </c>
      <c r="E28" s="90" t="s">
        <v>46</v>
      </c>
      <c r="F28" s="90" t="s">
        <v>44</v>
      </c>
      <c r="G28" s="90" t="s">
        <v>48</v>
      </c>
      <c r="H28" s="90" t="s">
        <v>49</v>
      </c>
      <c r="I28" s="90" t="s">
        <v>47</v>
      </c>
      <c r="J28" s="90" t="s">
        <v>50</v>
      </c>
      <c r="K28" s="90" t="s">
        <v>224</v>
      </c>
      <c r="L28" s="90" t="s">
        <v>224</v>
      </c>
      <c r="M28" s="90" t="s">
        <v>224</v>
      </c>
      <c r="N28" s="90" t="s">
        <v>224</v>
      </c>
      <c r="O28" s="90" t="s">
        <v>224</v>
      </c>
      <c r="P28" s="90" t="s">
        <v>224</v>
      </c>
      <c r="Q28" s="90" t="s">
        <v>224</v>
      </c>
      <c r="R28" s="90" t="s">
        <v>224</v>
      </c>
      <c r="S28" s="90" t="s">
        <v>224</v>
      </c>
      <c r="T28" s="90" t="s">
        <v>224</v>
      </c>
      <c r="U28" s="90" t="s">
        <v>224</v>
      </c>
      <c r="V28" s="90" t="s">
        <v>224</v>
      </c>
      <c r="W28" s="128">
        <v>309202</v>
      </c>
    </row>
    <row r="29" spans="2:23" x14ac:dyDescent="0.15">
      <c r="B29" s="21">
        <v>27</v>
      </c>
      <c r="C29" s="90" t="s">
        <v>43</v>
      </c>
      <c r="D29" s="90" t="s">
        <v>45</v>
      </c>
      <c r="E29" s="90" t="s">
        <v>46</v>
      </c>
      <c r="F29" s="90" t="s">
        <v>44</v>
      </c>
      <c r="G29" s="90" t="s">
        <v>48</v>
      </c>
      <c r="H29" s="90" t="s">
        <v>49</v>
      </c>
      <c r="I29" s="90" t="s">
        <v>47</v>
      </c>
      <c r="J29" s="90" t="s">
        <v>50</v>
      </c>
      <c r="K29" s="90" t="s">
        <v>224</v>
      </c>
      <c r="L29" s="90" t="s">
        <v>224</v>
      </c>
      <c r="M29" s="90" t="s">
        <v>224</v>
      </c>
      <c r="N29" s="90" t="s">
        <v>224</v>
      </c>
      <c r="O29" s="90" t="s">
        <v>224</v>
      </c>
      <c r="P29" s="90" t="s">
        <v>224</v>
      </c>
      <c r="Q29" s="90" t="s">
        <v>224</v>
      </c>
      <c r="R29" s="90" t="s">
        <v>224</v>
      </c>
      <c r="S29" s="90" t="s">
        <v>224</v>
      </c>
      <c r="T29" s="90" t="s">
        <v>224</v>
      </c>
      <c r="U29" s="90" t="s">
        <v>224</v>
      </c>
      <c r="V29" s="90" t="s">
        <v>224</v>
      </c>
      <c r="W29" s="128">
        <v>309202</v>
      </c>
    </row>
    <row r="30" spans="2:23" x14ac:dyDescent="0.15">
      <c r="B30" s="21">
        <v>28</v>
      </c>
      <c r="C30" s="90" t="s">
        <v>43</v>
      </c>
      <c r="D30" s="90" t="s">
        <v>45</v>
      </c>
      <c r="E30" s="90" t="s">
        <v>46</v>
      </c>
      <c r="F30" s="90" t="s">
        <v>44</v>
      </c>
      <c r="G30" s="90" t="s">
        <v>48</v>
      </c>
      <c r="H30" s="90" t="s">
        <v>49</v>
      </c>
      <c r="I30" s="90" t="s">
        <v>47</v>
      </c>
      <c r="J30" s="90" t="s">
        <v>50</v>
      </c>
      <c r="K30" s="90" t="s">
        <v>224</v>
      </c>
      <c r="L30" s="90" t="s">
        <v>224</v>
      </c>
      <c r="M30" s="90" t="s">
        <v>224</v>
      </c>
      <c r="N30" s="90" t="s">
        <v>224</v>
      </c>
      <c r="O30" s="90" t="s">
        <v>224</v>
      </c>
      <c r="P30" s="90" t="s">
        <v>224</v>
      </c>
      <c r="Q30" s="90" t="s">
        <v>224</v>
      </c>
      <c r="R30" s="90" t="s">
        <v>224</v>
      </c>
      <c r="S30" s="90" t="s">
        <v>224</v>
      </c>
      <c r="T30" s="90" t="s">
        <v>224</v>
      </c>
      <c r="U30" s="90" t="s">
        <v>224</v>
      </c>
      <c r="V30" s="90" t="s">
        <v>224</v>
      </c>
      <c r="W30" s="128">
        <v>309202</v>
      </c>
    </row>
    <row r="31" spans="2:23" x14ac:dyDescent="0.15">
      <c r="B31" s="21">
        <v>29</v>
      </c>
      <c r="C31" s="90" t="s">
        <v>43</v>
      </c>
      <c r="D31" s="90" t="s">
        <v>45</v>
      </c>
      <c r="E31" s="90" t="s">
        <v>46</v>
      </c>
      <c r="F31" s="90" t="s">
        <v>44</v>
      </c>
      <c r="G31" s="90" t="s">
        <v>48</v>
      </c>
      <c r="H31" s="90" t="s">
        <v>49</v>
      </c>
      <c r="I31" s="90" t="s">
        <v>47</v>
      </c>
      <c r="J31" s="90" t="s">
        <v>50</v>
      </c>
      <c r="K31" s="90" t="s">
        <v>224</v>
      </c>
      <c r="L31" s="90" t="s">
        <v>224</v>
      </c>
      <c r="M31" s="90" t="s">
        <v>224</v>
      </c>
      <c r="N31" s="90" t="s">
        <v>224</v>
      </c>
      <c r="O31" s="90" t="s">
        <v>224</v>
      </c>
      <c r="P31" s="90" t="s">
        <v>224</v>
      </c>
      <c r="Q31" s="90" t="s">
        <v>224</v>
      </c>
      <c r="R31" s="90" t="s">
        <v>224</v>
      </c>
      <c r="S31" s="90" t="s">
        <v>224</v>
      </c>
      <c r="T31" s="90" t="s">
        <v>224</v>
      </c>
      <c r="U31" s="90" t="s">
        <v>224</v>
      </c>
      <c r="V31" s="90" t="s">
        <v>224</v>
      </c>
      <c r="W31" s="128">
        <v>309202</v>
      </c>
    </row>
    <row r="32" spans="2:23" x14ac:dyDescent="0.15">
      <c r="B32" s="21">
        <v>30</v>
      </c>
      <c r="C32" s="90" t="s">
        <v>43</v>
      </c>
      <c r="D32" s="90" t="s">
        <v>45</v>
      </c>
      <c r="E32" s="90" t="s">
        <v>46</v>
      </c>
      <c r="F32" s="90" t="s">
        <v>44</v>
      </c>
      <c r="G32" s="90" t="s">
        <v>48</v>
      </c>
      <c r="H32" s="90" t="s">
        <v>49</v>
      </c>
      <c r="I32" s="90" t="s">
        <v>47</v>
      </c>
      <c r="J32" s="90" t="s">
        <v>50</v>
      </c>
      <c r="K32" s="90" t="s">
        <v>224</v>
      </c>
      <c r="L32" s="90" t="s">
        <v>224</v>
      </c>
      <c r="M32" s="90" t="s">
        <v>224</v>
      </c>
      <c r="N32" s="90" t="s">
        <v>224</v>
      </c>
      <c r="O32" s="90" t="s">
        <v>224</v>
      </c>
      <c r="P32" s="90" t="s">
        <v>224</v>
      </c>
      <c r="Q32" s="90" t="s">
        <v>224</v>
      </c>
      <c r="R32" s="90" t="s">
        <v>224</v>
      </c>
      <c r="S32" s="90" t="s">
        <v>224</v>
      </c>
      <c r="T32" s="90" t="s">
        <v>224</v>
      </c>
      <c r="U32" s="90" t="s">
        <v>224</v>
      </c>
      <c r="V32" s="90" t="s">
        <v>224</v>
      </c>
      <c r="W32" s="128">
        <v>309202</v>
      </c>
    </row>
    <row r="33" spans="2:23" x14ac:dyDescent="0.15">
      <c r="B33" s="21">
        <v>31</v>
      </c>
      <c r="C33" s="90" t="s">
        <v>43</v>
      </c>
      <c r="D33" s="90" t="s">
        <v>45</v>
      </c>
      <c r="E33" s="90" t="s">
        <v>46</v>
      </c>
      <c r="F33" s="90" t="s">
        <v>44</v>
      </c>
      <c r="G33" s="90" t="s">
        <v>48</v>
      </c>
      <c r="H33" s="90" t="s">
        <v>49</v>
      </c>
      <c r="I33" s="90" t="s">
        <v>47</v>
      </c>
      <c r="J33" s="90" t="s">
        <v>50</v>
      </c>
      <c r="K33" s="90" t="s">
        <v>224</v>
      </c>
      <c r="L33" s="90" t="s">
        <v>224</v>
      </c>
      <c r="M33" s="90" t="s">
        <v>224</v>
      </c>
      <c r="N33" s="90" t="s">
        <v>224</v>
      </c>
      <c r="O33" s="90" t="s">
        <v>224</v>
      </c>
      <c r="P33" s="90" t="s">
        <v>224</v>
      </c>
      <c r="Q33" s="90" t="s">
        <v>224</v>
      </c>
      <c r="R33" s="90" t="s">
        <v>224</v>
      </c>
      <c r="S33" s="90" t="s">
        <v>224</v>
      </c>
      <c r="T33" s="90" t="s">
        <v>224</v>
      </c>
      <c r="U33" s="90" t="s">
        <v>224</v>
      </c>
      <c r="V33" s="90" t="s">
        <v>224</v>
      </c>
      <c r="W33" s="128">
        <v>309202</v>
      </c>
    </row>
    <row r="34" spans="2:23" x14ac:dyDescent="0.15">
      <c r="B34" s="21">
        <v>32</v>
      </c>
      <c r="C34" s="90" t="s">
        <v>43</v>
      </c>
      <c r="D34" s="90" t="s">
        <v>45</v>
      </c>
      <c r="E34" s="90" t="s">
        <v>46</v>
      </c>
      <c r="F34" s="90" t="s">
        <v>44</v>
      </c>
      <c r="G34" s="90" t="s">
        <v>48</v>
      </c>
      <c r="H34" s="90" t="s">
        <v>49</v>
      </c>
      <c r="I34" s="90" t="s">
        <v>47</v>
      </c>
      <c r="J34" s="90" t="s">
        <v>50</v>
      </c>
      <c r="K34" s="90" t="s">
        <v>224</v>
      </c>
      <c r="L34" s="90" t="s">
        <v>224</v>
      </c>
      <c r="M34" s="90" t="s">
        <v>224</v>
      </c>
      <c r="N34" s="90" t="s">
        <v>224</v>
      </c>
      <c r="O34" s="90" t="s">
        <v>224</v>
      </c>
      <c r="P34" s="90" t="s">
        <v>224</v>
      </c>
      <c r="Q34" s="90" t="s">
        <v>224</v>
      </c>
      <c r="R34" s="90" t="s">
        <v>224</v>
      </c>
      <c r="S34" s="90" t="s">
        <v>224</v>
      </c>
      <c r="T34" s="90" t="s">
        <v>224</v>
      </c>
      <c r="U34" s="90" t="s">
        <v>224</v>
      </c>
      <c r="V34" s="90" t="s">
        <v>224</v>
      </c>
      <c r="W34" s="128">
        <v>309202</v>
      </c>
    </row>
    <row r="35" spans="2:23" x14ac:dyDescent="0.15">
      <c r="B35" s="21">
        <v>33</v>
      </c>
      <c r="C35" s="90" t="s">
        <v>43</v>
      </c>
      <c r="D35" s="90" t="s">
        <v>45</v>
      </c>
      <c r="E35" s="90" t="s">
        <v>46</v>
      </c>
      <c r="F35" s="90" t="s">
        <v>44</v>
      </c>
      <c r="G35" s="90" t="s">
        <v>48</v>
      </c>
      <c r="H35" s="90" t="s">
        <v>49</v>
      </c>
      <c r="I35" s="90" t="s">
        <v>47</v>
      </c>
      <c r="J35" s="90" t="s">
        <v>50</v>
      </c>
      <c r="K35" s="90" t="s">
        <v>224</v>
      </c>
      <c r="L35" s="90" t="s">
        <v>224</v>
      </c>
      <c r="M35" s="90" t="s">
        <v>224</v>
      </c>
      <c r="N35" s="90" t="s">
        <v>224</v>
      </c>
      <c r="O35" s="90" t="s">
        <v>224</v>
      </c>
      <c r="P35" s="90" t="s">
        <v>224</v>
      </c>
      <c r="Q35" s="90" t="s">
        <v>224</v>
      </c>
      <c r="R35" s="90" t="s">
        <v>224</v>
      </c>
      <c r="S35" s="90" t="s">
        <v>224</v>
      </c>
      <c r="T35" s="90" t="s">
        <v>224</v>
      </c>
      <c r="U35" s="90" t="s">
        <v>224</v>
      </c>
      <c r="V35" s="90" t="s">
        <v>224</v>
      </c>
      <c r="W35" s="128">
        <v>309202</v>
      </c>
    </row>
    <row r="36" spans="2:23" x14ac:dyDescent="0.15">
      <c r="B36" s="21">
        <v>34</v>
      </c>
      <c r="C36" s="90" t="s">
        <v>43</v>
      </c>
      <c r="D36" s="90" t="s">
        <v>45</v>
      </c>
      <c r="E36" s="90" t="s">
        <v>46</v>
      </c>
      <c r="F36" s="90" t="s">
        <v>44</v>
      </c>
      <c r="G36" s="90" t="s">
        <v>48</v>
      </c>
      <c r="H36" s="90" t="s">
        <v>49</v>
      </c>
      <c r="I36" s="90" t="s">
        <v>47</v>
      </c>
      <c r="J36" s="90" t="s">
        <v>50</v>
      </c>
      <c r="K36" s="90" t="s">
        <v>224</v>
      </c>
      <c r="L36" s="90" t="s">
        <v>224</v>
      </c>
      <c r="M36" s="90" t="s">
        <v>224</v>
      </c>
      <c r="N36" s="90" t="s">
        <v>224</v>
      </c>
      <c r="O36" s="90" t="s">
        <v>224</v>
      </c>
      <c r="P36" s="90" t="s">
        <v>224</v>
      </c>
      <c r="Q36" s="90" t="s">
        <v>224</v>
      </c>
      <c r="R36" s="90" t="s">
        <v>224</v>
      </c>
      <c r="S36" s="90" t="s">
        <v>224</v>
      </c>
      <c r="T36" s="90" t="s">
        <v>224</v>
      </c>
      <c r="U36" s="90" t="s">
        <v>224</v>
      </c>
      <c r="V36" s="90" t="s">
        <v>224</v>
      </c>
      <c r="W36" s="128">
        <v>309202</v>
      </c>
    </row>
    <row r="37" spans="2:23" x14ac:dyDescent="0.15">
      <c r="B37" s="21">
        <v>35</v>
      </c>
      <c r="C37" s="90" t="s">
        <v>43</v>
      </c>
      <c r="D37" s="90" t="s">
        <v>45</v>
      </c>
      <c r="E37" s="90" t="s">
        <v>46</v>
      </c>
      <c r="F37" s="90" t="s">
        <v>44</v>
      </c>
      <c r="G37" s="90" t="s">
        <v>48</v>
      </c>
      <c r="H37" s="90" t="s">
        <v>49</v>
      </c>
      <c r="I37" s="90" t="s">
        <v>47</v>
      </c>
      <c r="J37" s="90" t="s">
        <v>50</v>
      </c>
      <c r="K37" s="90" t="s">
        <v>224</v>
      </c>
      <c r="L37" s="90" t="s">
        <v>224</v>
      </c>
      <c r="M37" s="90" t="s">
        <v>224</v>
      </c>
      <c r="N37" s="90" t="s">
        <v>224</v>
      </c>
      <c r="O37" s="90" t="s">
        <v>224</v>
      </c>
      <c r="P37" s="90" t="s">
        <v>224</v>
      </c>
      <c r="Q37" s="90" t="s">
        <v>224</v>
      </c>
      <c r="R37" s="90" t="s">
        <v>224</v>
      </c>
      <c r="S37" s="90" t="s">
        <v>224</v>
      </c>
      <c r="T37" s="90" t="s">
        <v>224</v>
      </c>
      <c r="U37" s="90" t="s">
        <v>224</v>
      </c>
      <c r="V37" s="90" t="s">
        <v>224</v>
      </c>
      <c r="W37" s="128">
        <v>309202</v>
      </c>
    </row>
    <row r="38" spans="2:23" x14ac:dyDescent="0.15">
      <c r="B38" s="21">
        <v>36</v>
      </c>
      <c r="C38" s="90" t="s">
        <v>43</v>
      </c>
      <c r="D38" s="90" t="s">
        <v>45</v>
      </c>
      <c r="E38" s="90" t="s">
        <v>46</v>
      </c>
      <c r="F38" s="90" t="s">
        <v>44</v>
      </c>
      <c r="G38" s="90" t="s">
        <v>48</v>
      </c>
      <c r="H38" s="90" t="s">
        <v>49</v>
      </c>
      <c r="I38" s="90" t="s">
        <v>47</v>
      </c>
      <c r="J38" s="90" t="s">
        <v>50</v>
      </c>
      <c r="K38" s="90" t="s">
        <v>224</v>
      </c>
      <c r="L38" s="90" t="s">
        <v>224</v>
      </c>
      <c r="M38" s="90" t="s">
        <v>224</v>
      </c>
      <c r="N38" s="90" t="s">
        <v>224</v>
      </c>
      <c r="O38" s="90" t="s">
        <v>224</v>
      </c>
      <c r="P38" s="90" t="s">
        <v>224</v>
      </c>
      <c r="Q38" s="90" t="s">
        <v>224</v>
      </c>
      <c r="R38" s="90" t="s">
        <v>224</v>
      </c>
      <c r="S38" s="90" t="s">
        <v>224</v>
      </c>
      <c r="T38" s="90" t="s">
        <v>224</v>
      </c>
      <c r="U38" s="90" t="s">
        <v>224</v>
      </c>
      <c r="V38" s="90" t="s">
        <v>224</v>
      </c>
      <c r="W38" s="128">
        <v>309202</v>
      </c>
    </row>
    <row r="39" spans="2:23" x14ac:dyDescent="0.15">
      <c r="B39" s="21">
        <v>37</v>
      </c>
      <c r="C39" s="90" t="s">
        <v>43</v>
      </c>
      <c r="D39" s="90" t="s">
        <v>45</v>
      </c>
      <c r="E39" s="90" t="s">
        <v>46</v>
      </c>
      <c r="F39" s="90" t="s">
        <v>44</v>
      </c>
      <c r="G39" s="90" t="s">
        <v>48</v>
      </c>
      <c r="H39" s="90" t="s">
        <v>49</v>
      </c>
      <c r="I39" s="90" t="s">
        <v>47</v>
      </c>
      <c r="J39" s="90" t="s">
        <v>50</v>
      </c>
      <c r="K39" s="90" t="s">
        <v>224</v>
      </c>
      <c r="L39" s="90" t="s">
        <v>224</v>
      </c>
      <c r="M39" s="90" t="s">
        <v>224</v>
      </c>
      <c r="N39" s="90" t="s">
        <v>224</v>
      </c>
      <c r="O39" s="90" t="s">
        <v>224</v>
      </c>
      <c r="P39" s="90" t="s">
        <v>224</v>
      </c>
      <c r="Q39" s="90" t="s">
        <v>224</v>
      </c>
      <c r="R39" s="90" t="s">
        <v>224</v>
      </c>
      <c r="S39" s="90" t="s">
        <v>224</v>
      </c>
      <c r="T39" s="90" t="s">
        <v>224</v>
      </c>
      <c r="U39" s="90" t="s">
        <v>224</v>
      </c>
      <c r="V39" s="90" t="s">
        <v>224</v>
      </c>
      <c r="W39" s="128">
        <v>309202</v>
      </c>
    </row>
    <row r="40" spans="2:23" x14ac:dyDescent="0.15">
      <c r="B40" s="21">
        <v>38</v>
      </c>
      <c r="C40" s="90" t="s">
        <v>43</v>
      </c>
      <c r="D40" s="90" t="s">
        <v>45</v>
      </c>
      <c r="E40" s="90" t="s">
        <v>46</v>
      </c>
      <c r="F40" s="90" t="s">
        <v>44</v>
      </c>
      <c r="G40" s="90" t="s">
        <v>48</v>
      </c>
      <c r="H40" s="90" t="s">
        <v>49</v>
      </c>
      <c r="I40" s="90" t="s">
        <v>47</v>
      </c>
      <c r="J40" s="90" t="s">
        <v>50</v>
      </c>
      <c r="K40" s="90" t="s">
        <v>224</v>
      </c>
      <c r="L40" s="90" t="s">
        <v>224</v>
      </c>
      <c r="M40" s="90" t="s">
        <v>224</v>
      </c>
      <c r="N40" s="90" t="s">
        <v>224</v>
      </c>
      <c r="O40" s="90" t="s">
        <v>224</v>
      </c>
      <c r="P40" s="90" t="s">
        <v>224</v>
      </c>
      <c r="Q40" s="90" t="s">
        <v>224</v>
      </c>
      <c r="R40" s="90" t="s">
        <v>224</v>
      </c>
      <c r="S40" s="90" t="s">
        <v>224</v>
      </c>
      <c r="T40" s="90" t="s">
        <v>224</v>
      </c>
      <c r="U40" s="90" t="s">
        <v>224</v>
      </c>
      <c r="V40" s="90" t="s">
        <v>224</v>
      </c>
      <c r="W40" s="128">
        <v>309202</v>
      </c>
    </row>
    <row r="41" spans="2:23" x14ac:dyDescent="0.15">
      <c r="B41" s="21">
        <v>39</v>
      </c>
      <c r="C41" s="90" t="s">
        <v>43</v>
      </c>
      <c r="D41" s="90" t="s">
        <v>45</v>
      </c>
      <c r="E41" s="90" t="s">
        <v>46</v>
      </c>
      <c r="F41" s="90" t="s">
        <v>44</v>
      </c>
      <c r="G41" s="90" t="s">
        <v>48</v>
      </c>
      <c r="H41" s="90" t="s">
        <v>49</v>
      </c>
      <c r="I41" s="90" t="s">
        <v>47</v>
      </c>
      <c r="J41" s="90" t="s">
        <v>50</v>
      </c>
      <c r="K41" s="90" t="s">
        <v>224</v>
      </c>
      <c r="L41" s="90" t="s">
        <v>224</v>
      </c>
      <c r="M41" s="90" t="s">
        <v>224</v>
      </c>
      <c r="N41" s="90" t="s">
        <v>224</v>
      </c>
      <c r="O41" s="90" t="s">
        <v>224</v>
      </c>
      <c r="P41" s="90" t="s">
        <v>224</v>
      </c>
      <c r="Q41" s="90" t="s">
        <v>224</v>
      </c>
      <c r="R41" s="90" t="s">
        <v>224</v>
      </c>
      <c r="S41" s="90" t="s">
        <v>224</v>
      </c>
      <c r="T41" s="90" t="s">
        <v>224</v>
      </c>
      <c r="U41" s="90" t="s">
        <v>224</v>
      </c>
      <c r="V41" s="90" t="s">
        <v>224</v>
      </c>
      <c r="W41" s="128">
        <v>309202</v>
      </c>
    </row>
    <row r="42" spans="2:23" x14ac:dyDescent="0.15">
      <c r="B42" s="21">
        <v>40</v>
      </c>
      <c r="C42" s="90" t="s">
        <v>43</v>
      </c>
      <c r="D42" s="90" t="s">
        <v>45</v>
      </c>
      <c r="E42" s="90" t="s">
        <v>46</v>
      </c>
      <c r="F42" s="90" t="s">
        <v>44</v>
      </c>
      <c r="G42" s="90" t="s">
        <v>48</v>
      </c>
      <c r="H42" s="90" t="s">
        <v>49</v>
      </c>
      <c r="I42" s="90" t="s">
        <v>47</v>
      </c>
      <c r="J42" s="90" t="s">
        <v>50</v>
      </c>
      <c r="K42" s="90" t="s">
        <v>224</v>
      </c>
      <c r="L42" s="90" t="s">
        <v>224</v>
      </c>
      <c r="M42" s="90" t="s">
        <v>224</v>
      </c>
      <c r="N42" s="90" t="s">
        <v>224</v>
      </c>
      <c r="O42" s="90" t="s">
        <v>224</v>
      </c>
      <c r="P42" s="90" t="s">
        <v>224</v>
      </c>
      <c r="Q42" s="90" t="s">
        <v>224</v>
      </c>
      <c r="R42" s="90" t="s">
        <v>224</v>
      </c>
      <c r="S42" s="90" t="s">
        <v>224</v>
      </c>
      <c r="T42" s="90" t="s">
        <v>224</v>
      </c>
      <c r="U42" s="90" t="s">
        <v>224</v>
      </c>
      <c r="V42" s="90" t="s">
        <v>224</v>
      </c>
      <c r="W42" s="128">
        <v>309202</v>
      </c>
    </row>
    <row r="43" spans="2:23" x14ac:dyDescent="0.15">
      <c r="B43" s="21">
        <v>41</v>
      </c>
      <c r="C43" s="90" t="s">
        <v>43</v>
      </c>
      <c r="D43" s="90" t="s">
        <v>45</v>
      </c>
      <c r="E43" s="90" t="s">
        <v>46</v>
      </c>
      <c r="F43" s="90" t="s">
        <v>44</v>
      </c>
      <c r="G43" s="90" t="s">
        <v>48</v>
      </c>
      <c r="H43" s="90" t="s">
        <v>49</v>
      </c>
      <c r="I43" s="90" t="s">
        <v>47</v>
      </c>
      <c r="J43" s="90" t="s">
        <v>50</v>
      </c>
      <c r="K43" s="90" t="s">
        <v>224</v>
      </c>
      <c r="L43" s="90" t="s">
        <v>224</v>
      </c>
      <c r="M43" s="90" t="s">
        <v>224</v>
      </c>
      <c r="N43" s="90" t="s">
        <v>224</v>
      </c>
      <c r="O43" s="90" t="s">
        <v>224</v>
      </c>
      <c r="P43" s="90" t="s">
        <v>224</v>
      </c>
      <c r="Q43" s="90" t="s">
        <v>224</v>
      </c>
      <c r="R43" s="90" t="s">
        <v>224</v>
      </c>
      <c r="S43" s="90" t="s">
        <v>224</v>
      </c>
      <c r="T43" s="90" t="s">
        <v>224</v>
      </c>
      <c r="U43" s="90" t="s">
        <v>224</v>
      </c>
      <c r="V43" s="90" t="s">
        <v>224</v>
      </c>
      <c r="W43" s="128">
        <v>309202</v>
      </c>
    </row>
    <row r="44" spans="2:23" x14ac:dyDescent="0.15">
      <c r="B44" s="21">
        <v>42</v>
      </c>
      <c r="C44" s="90" t="s">
        <v>43</v>
      </c>
      <c r="D44" s="90" t="s">
        <v>45</v>
      </c>
      <c r="E44" s="90" t="s">
        <v>46</v>
      </c>
      <c r="F44" s="90" t="s">
        <v>44</v>
      </c>
      <c r="G44" s="90" t="s">
        <v>48</v>
      </c>
      <c r="H44" s="90" t="s">
        <v>49</v>
      </c>
      <c r="I44" s="90" t="s">
        <v>47</v>
      </c>
      <c r="J44" s="90" t="s">
        <v>50</v>
      </c>
      <c r="K44" s="90" t="s">
        <v>224</v>
      </c>
      <c r="L44" s="90" t="s">
        <v>224</v>
      </c>
      <c r="M44" s="90" t="s">
        <v>224</v>
      </c>
      <c r="N44" s="90" t="s">
        <v>224</v>
      </c>
      <c r="O44" s="90" t="s">
        <v>224</v>
      </c>
      <c r="P44" s="90" t="s">
        <v>224</v>
      </c>
      <c r="Q44" s="90" t="s">
        <v>224</v>
      </c>
      <c r="R44" s="90" t="s">
        <v>224</v>
      </c>
      <c r="S44" s="90" t="s">
        <v>224</v>
      </c>
      <c r="T44" s="90" t="s">
        <v>224</v>
      </c>
      <c r="U44" s="90" t="s">
        <v>224</v>
      </c>
      <c r="V44" s="90" t="s">
        <v>224</v>
      </c>
      <c r="W44" s="128">
        <v>309202</v>
      </c>
    </row>
    <row r="45" spans="2:23" x14ac:dyDescent="0.15">
      <c r="B45" s="21">
        <v>43</v>
      </c>
      <c r="C45" s="90" t="s">
        <v>43</v>
      </c>
      <c r="D45" s="90" t="s">
        <v>45</v>
      </c>
      <c r="E45" s="90" t="s">
        <v>46</v>
      </c>
      <c r="F45" s="90" t="s">
        <v>44</v>
      </c>
      <c r="G45" s="90" t="s">
        <v>48</v>
      </c>
      <c r="H45" s="90" t="s">
        <v>49</v>
      </c>
      <c r="I45" s="90" t="s">
        <v>47</v>
      </c>
      <c r="J45" s="90" t="s">
        <v>50</v>
      </c>
      <c r="K45" s="90" t="s">
        <v>224</v>
      </c>
      <c r="L45" s="90" t="s">
        <v>224</v>
      </c>
      <c r="M45" s="90" t="s">
        <v>224</v>
      </c>
      <c r="N45" s="90" t="s">
        <v>224</v>
      </c>
      <c r="O45" s="90" t="s">
        <v>224</v>
      </c>
      <c r="P45" s="90" t="s">
        <v>224</v>
      </c>
      <c r="Q45" s="90" t="s">
        <v>224</v>
      </c>
      <c r="R45" s="90" t="s">
        <v>224</v>
      </c>
      <c r="S45" s="90" t="s">
        <v>224</v>
      </c>
      <c r="T45" s="90" t="s">
        <v>224</v>
      </c>
      <c r="U45" s="90" t="s">
        <v>224</v>
      </c>
      <c r="V45" s="90" t="s">
        <v>224</v>
      </c>
      <c r="W45" s="128">
        <v>309202</v>
      </c>
    </row>
    <row r="46" spans="2:23" x14ac:dyDescent="0.15">
      <c r="B46" s="21">
        <v>44</v>
      </c>
      <c r="C46" s="90" t="s">
        <v>43</v>
      </c>
      <c r="D46" s="90" t="s">
        <v>45</v>
      </c>
      <c r="E46" s="90" t="s">
        <v>46</v>
      </c>
      <c r="F46" s="90" t="s">
        <v>44</v>
      </c>
      <c r="G46" s="90" t="s">
        <v>48</v>
      </c>
      <c r="H46" s="90" t="s">
        <v>49</v>
      </c>
      <c r="I46" s="90" t="s">
        <v>47</v>
      </c>
      <c r="J46" s="90" t="s">
        <v>50</v>
      </c>
      <c r="K46" s="90" t="s">
        <v>224</v>
      </c>
      <c r="L46" s="90" t="s">
        <v>224</v>
      </c>
      <c r="M46" s="90" t="s">
        <v>224</v>
      </c>
      <c r="N46" s="90" t="s">
        <v>224</v>
      </c>
      <c r="O46" s="90" t="s">
        <v>224</v>
      </c>
      <c r="P46" s="90" t="s">
        <v>224</v>
      </c>
      <c r="Q46" s="90" t="s">
        <v>224</v>
      </c>
      <c r="R46" s="90" t="s">
        <v>224</v>
      </c>
      <c r="S46" s="90" t="s">
        <v>224</v>
      </c>
      <c r="T46" s="90" t="s">
        <v>224</v>
      </c>
      <c r="U46" s="90" t="s">
        <v>224</v>
      </c>
      <c r="V46" s="90" t="s">
        <v>224</v>
      </c>
      <c r="W46" s="128">
        <v>309202</v>
      </c>
    </row>
    <row r="47" spans="2:23" x14ac:dyDescent="0.15">
      <c r="B47" s="21">
        <v>45</v>
      </c>
      <c r="C47" s="90" t="s">
        <v>43</v>
      </c>
      <c r="D47" s="90" t="s">
        <v>45</v>
      </c>
      <c r="E47" s="90" t="s">
        <v>46</v>
      </c>
      <c r="F47" s="90" t="s">
        <v>44</v>
      </c>
      <c r="G47" s="90" t="s">
        <v>48</v>
      </c>
      <c r="H47" s="90" t="s">
        <v>49</v>
      </c>
      <c r="I47" s="90" t="s">
        <v>47</v>
      </c>
      <c r="J47" s="90" t="s">
        <v>50</v>
      </c>
      <c r="K47" s="90" t="s">
        <v>224</v>
      </c>
      <c r="L47" s="90" t="s">
        <v>224</v>
      </c>
      <c r="M47" s="90" t="s">
        <v>224</v>
      </c>
      <c r="N47" s="90" t="s">
        <v>224</v>
      </c>
      <c r="O47" s="90" t="s">
        <v>224</v>
      </c>
      <c r="P47" s="90" t="s">
        <v>224</v>
      </c>
      <c r="Q47" s="90" t="s">
        <v>224</v>
      </c>
      <c r="R47" s="90" t="s">
        <v>224</v>
      </c>
      <c r="S47" s="90" t="s">
        <v>224</v>
      </c>
      <c r="T47" s="90" t="s">
        <v>224</v>
      </c>
      <c r="U47" s="90" t="s">
        <v>224</v>
      </c>
      <c r="V47" s="90" t="s">
        <v>224</v>
      </c>
      <c r="W47" s="128">
        <v>309202</v>
      </c>
    </row>
    <row r="48" spans="2:23" x14ac:dyDescent="0.15">
      <c r="B48" s="21">
        <v>46</v>
      </c>
      <c r="C48" s="90" t="s">
        <v>43</v>
      </c>
      <c r="D48" s="90" t="s">
        <v>45</v>
      </c>
      <c r="E48" s="90" t="s">
        <v>46</v>
      </c>
      <c r="F48" s="90" t="s">
        <v>44</v>
      </c>
      <c r="G48" s="90" t="s">
        <v>48</v>
      </c>
      <c r="H48" s="90" t="s">
        <v>49</v>
      </c>
      <c r="I48" s="90" t="s">
        <v>47</v>
      </c>
      <c r="J48" s="90" t="s">
        <v>50</v>
      </c>
      <c r="K48" s="90" t="s">
        <v>224</v>
      </c>
      <c r="L48" s="90" t="s">
        <v>224</v>
      </c>
      <c r="M48" s="90" t="s">
        <v>224</v>
      </c>
      <c r="N48" s="90" t="s">
        <v>224</v>
      </c>
      <c r="O48" s="90" t="s">
        <v>224</v>
      </c>
      <c r="P48" s="90" t="s">
        <v>224</v>
      </c>
      <c r="Q48" s="90" t="s">
        <v>224</v>
      </c>
      <c r="R48" s="90" t="s">
        <v>224</v>
      </c>
      <c r="S48" s="90" t="s">
        <v>224</v>
      </c>
      <c r="T48" s="90" t="s">
        <v>224</v>
      </c>
      <c r="U48" s="90" t="s">
        <v>224</v>
      </c>
      <c r="V48" s="90" t="s">
        <v>224</v>
      </c>
      <c r="W48" s="128">
        <v>309202</v>
      </c>
    </row>
    <row r="49" spans="2:23" x14ac:dyDescent="0.15">
      <c r="B49" s="21">
        <v>47</v>
      </c>
      <c r="C49" s="90" t="s">
        <v>43</v>
      </c>
      <c r="D49" s="90" t="s">
        <v>45</v>
      </c>
      <c r="E49" s="90" t="s">
        <v>46</v>
      </c>
      <c r="F49" s="90" t="s">
        <v>44</v>
      </c>
      <c r="G49" s="90" t="s">
        <v>48</v>
      </c>
      <c r="H49" s="90" t="s">
        <v>49</v>
      </c>
      <c r="I49" s="90" t="s">
        <v>47</v>
      </c>
      <c r="J49" s="90" t="s">
        <v>50</v>
      </c>
      <c r="K49" s="90" t="s">
        <v>224</v>
      </c>
      <c r="L49" s="90" t="s">
        <v>224</v>
      </c>
      <c r="M49" s="90" t="s">
        <v>224</v>
      </c>
      <c r="N49" s="90" t="s">
        <v>224</v>
      </c>
      <c r="O49" s="90" t="s">
        <v>224</v>
      </c>
      <c r="P49" s="90" t="s">
        <v>224</v>
      </c>
      <c r="Q49" s="90" t="s">
        <v>224</v>
      </c>
      <c r="R49" s="90" t="s">
        <v>224</v>
      </c>
      <c r="S49" s="90" t="s">
        <v>224</v>
      </c>
      <c r="T49" s="90" t="s">
        <v>224</v>
      </c>
      <c r="U49" s="90" t="s">
        <v>224</v>
      </c>
      <c r="V49" s="90" t="s">
        <v>224</v>
      </c>
      <c r="W49" s="128">
        <v>309202</v>
      </c>
    </row>
    <row r="50" spans="2:23" x14ac:dyDescent="0.15">
      <c r="B50" s="21">
        <v>48</v>
      </c>
      <c r="C50" s="90" t="s">
        <v>43</v>
      </c>
      <c r="D50" s="90" t="s">
        <v>45</v>
      </c>
      <c r="E50" s="90" t="s">
        <v>46</v>
      </c>
      <c r="F50" s="90" t="s">
        <v>44</v>
      </c>
      <c r="G50" s="90" t="s">
        <v>48</v>
      </c>
      <c r="H50" s="90" t="s">
        <v>49</v>
      </c>
      <c r="I50" s="90" t="s">
        <v>47</v>
      </c>
      <c r="J50" s="90" t="s">
        <v>50</v>
      </c>
      <c r="K50" s="90" t="s">
        <v>224</v>
      </c>
      <c r="L50" s="90" t="s">
        <v>224</v>
      </c>
      <c r="M50" s="90" t="s">
        <v>224</v>
      </c>
      <c r="N50" s="90" t="s">
        <v>224</v>
      </c>
      <c r="O50" s="90" t="s">
        <v>224</v>
      </c>
      <c r="P50" s="90" t="s">
        <v>224</v>
      </c>
      <c r="Q50" s="90" t="s">
        <v>224</v>
      </c>
      <c r="R50" s="90" t="s">
        <v>224</v>
      </c>
      <c r="S50" s="90" t="s">
        <v>224</v>
      </c>
      <c r="T50" s="90" t="s">
        <v>224</v>
      </c>
      <c r="U50" s="90" t="s">
        <v>224</v>
      </c>
      <c r="V50" s="90" t="s">
        <v>224</v>
      </c>
      <c r="W50" s="128">
        <v>309202</v>
      </c>
    </row>
    <row r="51" spans="2:23" x14ac:dyDescent="0.15">
      <c r="B51" s="21">
        <v>49</v>
      </c>
      <c r="C51" s="90" t="s">
        <v>43</v>
      </c>
      <c r="D51" s="90" t="s">
        <v>45</v>
      </c>
      <c r="E51" s="90" t="s">
        <v>46</v>
      </c>
      <c r="F51" s="90" t="s">
        <v>44</v>
      </c>
      <c r="G51" s="90" t="s">
        <v>48</v>
      </c>
      <c r="H51" s="90" t="s">
        <v>49</v>
      </c>
      <c r="I51" s="90" t="s">
        <v>47</v>
      </c>
      <c r="J51" s="90" t="s">
        <v>50</v>
      </c>
      <c r="K51" s="90" t="s">
        <v>224</v>
      </c>
      <c r="L51" s="90" t="s">
        <v>224</v>
      </c>
      <c r="M51" s="90" t="s">
        <v>224</v>
      </c>
      <c r="N51" s="90" t="s">
        <v>224</v>
      </c>
      <c r="O51" s="90" t="s">
        <v>224</v>
      </c>
      <c r="P51" s="90" t="s">
        <v>224</v>
      </c>
      <c r="Q51" s="90" t="s">
        <v>224</v>
      </c>
      <c r="R51" s="90" t="s">
        <v>224</v>
      </c>
      <c r="S51" s="90" t="s">
        <v>224</v>
      </c>
      <c r="T51" s="90" t="s">
        <v>224</v>
      </c>
      <c r="U51" s="90" t="s">
        <v>224</v>
      </c>
      <c r="V51" s="90" t="s">
        <v>224</v>
      </c>
      <c r="W51" s="128">
        <v>309202</v>
      </c>
    </row>
    <row r="52" spans="2:23" x14ac:dyDescent="0.15">
      <c r="B52" s="21">
        <v>50</v>
      </c>
      <c r="C52" s="90" t="s">
        <v>43</v>
      </c>
      <c r="D52" s="90" t="s">
        <v>45</v>
      </c>
      <c r="E52" s="90" t="s">
        <v>46</v>
      </c>
      <c r="F52" s="90" t="s">
        <v>44</v>
      </c>
      <c r="G52" s="90" t="s">
        <v>48</v>
      </c>
      <c r="H52" s="90" t="s">
        <v>49</v>
      </c>
      <c r="I52" s="90" t="s">
        <v>47</v>
      </c>
      <c r="J52" s="90" t="s">
        <v>50</v>
      </c>
      <c r="K52" s="90" t="s">
        <v>224</v>
      </c>
      <c r="L52" s="90" t="s">
        <v>224</v>
      </c>
      <c r="M52" s="90" t="s">
        <v>224</v>
      </c>
      <c r="N52" s="90" t="s">
        <v>224</v>
      </c>
      <c r="O52" s="90" t="s">
        <v>224</v>
      </c>
      <c r="P52" s="90" t="s">
        <v>224</v>
      </c>
      <c r="Q52" s="90" t="s">
        <v>224</v>
      </c>
      <c r="R52" s="90" t="s">
        <v>224</v>
      </c>
      <c r="S52" s="90" t="s">
        <v>224</v>
      </c>
      <c r="T52" s="90" t="s">
        <v>224</v>
      </c>
      <c r="U52" s="90" t="s">
        <v>224</v>
      </c>
      <c r="V52" s="90" t="s">
        <v>224</v>
      </c>
      <c r="W52" s="128">
        <v>309202</v>
      </c>
    </row>
    <row r="53" spans="2:23" x14ac:dyDescent="0.15">
      <c r="B53" s="21">
        <v>51</v>
      </c>
      <c r="C53" s="90" t="s">
        <v>43</v>
      </c>
      <c r="D53" s="90" t="s">
        <v>45</v>
      </c>
      <c r="E53" s="90" t="s">
        <v>46</v>
      </c>
      <c r="F53" s="90" t="s">
        <v>44</v>
      </c>
      <c r="G53" s="90" t="s">
        <v>48</v>
      </c>
      <c r="H53" s="90" t="s">
        <v>49</v>
      </c>
      <c r="I53" s="90" t="s">
        <v>47</v>
      </c>
      <c r="J53" s="90" t="s">
        <v>50</v>
      </c>
      <c r="K53" s="90" t="s">
        <v>224</v>
      </c>
      <c r="L53" s="90" t="s">
        <v>224</v>
      </c>
      <c r="M53" s="90" t="s">
        <v>224</v>
      </c>
      <c r="N53" s="90" t="s">
        <v>224</v>
      </c>
      <c r="O53" s="90" t="s">
        <v>224</v>
      </c>
      <c r="P53" s="90" t="s">
        <v>224</v>
      </c>
      <c r="Q53" s="90" t="s">
        <v>224</v>
      </c>
      <c r="R53" s="90" t="s">
        <v>224</v>
      </c>
      <c r="S53" s="90" t="s">
        <v>224</v>
      </c>
      <c r="T53" s="90" t="s">
        <v>224</v>
      </c>
      <c r="U53" s="90" t="s">
        <v>224</v>
      </c>
      <c r="V53" s="90" t="s">
        <v>224</v>
      </c>
      <c r="W53" s="128">
        <v>309202</v>
      </c>
    </row>
    <row r="54" spans="2:23" x14ac:dyDescent="0.15">
      <c r="B54" s="21">
        <v>52</v>
      </c>
      <c r="C54" s="90" t="s">
        <v>43</v>
      </c>
      <c r="D54" s="90" t="s">
        <v>45</v>
      </c>
      <c r="E54" s="90" t="s">
        <v>46</v>
      </c>
      <c r="F54" s="90" t="s">
        <v>44</v>
      </c>
      <c r="G54" s="90" t="s">
        <v>48</v>
      </c>
      <c r="H54" s="90" t="s">
        <v>49</v>
      </c>
      <c r="I54" s="90" t="s">
        <v>47</v>
      </c>
      <c r="J54" s="90" t="s">
        <v>50</v>
      </c>
      <c r="K54" s="90" t="s">
        <v>224</v>
      </c>
      <c r="L54" s="90" t="s">
        <v>224</v>
      </c>
      <c r="M54" s="90" t="s">
        <v>224</v>
      </c>
      <c r="N54" s="90" t="s">
        <v>224</v>
      </c>
      <c r="O54" s="90" t="s">
        <v>224</v>
      </c>
      <c r="P54" s="90" t="s">
        <v>224</v>
      </c>
      <c r="Q54" s="90" t="s">
        <v>224</v>
      </c>
      <c r="R54" s="90" t="s">
        <v>224</v>
      </c>
      <c r="S54" s="90" t="s">
        <v>224</v>
      </c>
      <c r="T54" s="90" t="s">
        <v>224</v>
      </c>
      <c r="U54" s="90" t="s">
        <v>224</v>
      </c>
      <c r="V54" s="90" t="s">
        <v>224</v>
      </c>
      <c r="W54" s="128">
        <v>309202</v>
      </c>
    </row>
    <row r="55" spans="2:23" x14ac:dyDescent="0.15">
      <c r="B55" s="21">
        <v>53</v>
      </c>
      <c r="C55" s="90" t="s">
        <v>43</v>
      </c>
      <c r="D55" s="90" t="s">
        <v>45</v>
      </c>
      <c r="E55" s="90" t="s">
        <v>46</v>
      </c>
      <c r="F55" s="90" t="s">
        <v>44</v>
      </c>
      <c r="G55" s="90" t="s">
        <v>48</v>
      </c>
      <c r="H55" s="90" t="s">
        <v>49</v>
      </c>
      <c r="I55" s="90" t="s">
        <v>47</v>
      </c>
      <c r="J55" s="90" t="s">
        <v>50</v>
      </c>
      <c r="K55" s="90" t="s">
        <v>224</v>
      </c>
      <c r="L55" s="90" t="s">
        <v>224</v>
      </c>
      <c r="M55" s="90" t="s">
        <v>224</v>
      </c>
      <c r="N55" s="90" t="s">
        <v>224</v>
      </c>
      <c r="O55" s="90" t="s">
        <v>224</v>
      </c>
      <c r="P55" s="90" t="s">
        <v>224</v>
      </c>
      <c r="Q55" s="90" t="s">
        <v>224</v>
      </c>
      <c r="R55" s="90" t="s">
        <v>224</v>
      </c>
      <c r="S55" s="90" t="s">
        <v>224</v>
      </c>
      <c r="T55" s="90" t="s">
        <v>224</v>
      </c>
      <c r="U55" s="90" t="s">
        <v>224</v>
      </c>
      <c r="V55" s="90" t="s">
        <v>224</v>
      </c>
      <c r="W55" s="128">
        <v>309202</v>
      </c>
    </row>
    <row r="56" spans="2:23" x14ac:dyDescent="0.15">
      <c r="B56" s="21">
        <v>54</v>
      </c>
      <c r="C56" s="90" t="s">
        <v>43</v>
      </c>
      <c r="D56" s="90" t="s">
        <v>45</v>
      </c>
      <c r="E56" s="90" t="s">
        <v>46</v>
      </c>
      <c r="F56" s="90" t="s">
        <v>44</v>
      </c>
      <c r="G56" s="90" t="s">
        <v>48</v>
      </c>
      <c r="H56" s="90" t="s">
        <v>49</v>
      </c>
      <c r="I56" s="90" t="s">
        <v>47</v>
      </c>
      <c r="J56" s="90" t="s">
        <v>50</v>
      </c>
      <c r="K56" s="90" t="s">
        <v>224</v>
      </c>
      <c r="L56" s="90" t="s">
        <v>224</v>
      </c>
      <c r="M56" s="90" t="s">
        <v>224</v>
      </c>
      <c r="N56" s="90" t="s">
        <v>224</v>
      </c>
      <c r="O56" s="90" t="s">
        <v>224</v>
      </c>
      <c r="P56" s="90" t="s">
        <v>224</v>
      </c>
      <c r="Q56" s="90" t="s">
        <v>224</v>
      </c>
      <c r="R56" s="90" t="s">
        <v>224</v>
      </c>
      <c r="S56" s="90" t="s">
        <v>224</v>
      </c>
      <c r="T56" s="90" t="s">
        <v>224</v>
      </c>
      <c r="U56" s="90" t="s">
        <v>224</v>
      </c>
      <c r="V56" s="90" t="s">
        <v>224</v>
      </c>
      <c r="W56" s="128">
        <v>309202</v>
      </c>
    </row>
    <row r="57" spans="2:23" x14ac:dyDescent="0.15">
      <c r="B57" s="21">
        <v>55</v>
      </c>
      <c r="C57" s="90" t="s">
        <v>43</v>
      </c>
      <c r="D57" s="90" t="s">
        <v>45</v>
      </c>
      <c r="E57" s="90" t="s">
        <v>46</v>
      </c>
      <c r="F57" s="90" t="s">
        <v>44</v>
      </c>
      <c r="G57" s="90" t="s">
        <v>48</v>
      </c>
      <c r="H57" s="90" t="s">
        <v>49</v>
      </c>
      <c r="I57" s="90" t="s">
        <v>47</v>
      </c>
      <c r="J57" s="90" t="s">
        <v>50</v>
      </c>
      <c r="K57" s="90" t="s">
        <v>224</v>
      </c>
      <c r="L57" s="90" t="s">
        <v>224</v>
      </c>
      <c r="M57" s="90" t="s">
        <v>224</v>
      </c>
      <c r="N57" s="90" t="s">
        <v>224</v>
      </c>
      <c r="O57" s="90" t="s">
        <v>224</v>
      </c>
      <c r="P57" s="90" t="s">
        <v>224</v>
      </c>
      <c r="Q57" s="90" t="s">
        <v>224</v>
      </c>
      <c r="R57" s="90" t="s">
        <v>224</v>
      </c>
      <c r="S57" s="90" t="s">
        <v>224</v>
      </c>
      <c r="T57" s="90" t="s">
        <v>224</v>
      </c>
      <c r="U57" s="90" t="s">
        <v>224</v>
      </c>
      <c r="V57" s="90" t="s">
        <v>224</v>
      </c>
      <c r="W57" s="128">
        <v>309202</v>
      </c>
    </row>
    <row r="58" spans="2:23" x14ac:dyDescent="0.15">
      <c r="B58" s="21">
        <v>56</v>
      </c>
      <c r="C58" s="90" t="s">
        <v>43</v>
      </c>
      <c r="D58" s="90" t="s">
        <v>45</v>
      </c>
      <c r="E58" s="90" t="s">
        <v>46</v>
      </c>
      <c r="F58" s="90" t="s">
        <v>44</v>
      </c>
      <c r="G58" s="90" t="s">
        <v>48</v>
      </c>
      <c r="H58" s="90" t="s">
        <v>49</v>
      </c>
      <c r="I58" s="90" t="s">
        <v>47</v>
      </c>
      <c r="J58" s="90" t="s">
        <v>50</v>
      </c>
      <c r="K58" s="90" t="s">
        <v>224</v>
      </c>
      <c r="L58" s="90" t="s">
        <v>224</v>
      </c>
      <c r="M58" s="90" t="s">
        <v>224</v>
      </c>
      <c r="N58" s="90" t="s">
        <v>224</v>
      </c>
      <c r="O58" s="90" t="s">
        <v>224</v>
      </c>
      <c r="P58" s="90" t="s">
        <v>224</v>
      </c>
      <c r="Q58" s="90" t="s">
        <v>224</v>
      </c>
      <c r="R58" s="90" t="s">
        <v>224</v>
      </c>
      <c r="S58" s="90" t="s">
        <v>224</v>
      </c>
      <c r="T58" s="90" t="s">
        <v>224</v>
      </c>
      <c r="U58" s="90" t="s">
        <v>224</v>
      </c>
      <c r="V58" s="90" t="s">
        <v>224</v>
      </c>
      <c r="W58" s="128">
        <v>309202</v>
      </c>
    </row>
    <row r="59" spans="2:23" x14ac:dyDescent="0.15">
      <c r="B59" s="21">
        <v>57</v>
      </c>
      <c r="C59" s="90" t="s">
        <v>43</v>
      </c>
      <c r="D59" s="90" t="s">
        <v>45</v>
      </c>
      <c r="E59" s="90" t="s">
        <v>46</v>
      </c>
      <c r="F59" s="90" t="s">
        <v>44</v>
      </c>
      <c r="G59" s="90" t="s">
        <v>48</v>
      </c>
      <c r="H59" s="90" t="s">
        <v>49</v>
      </c>
      <c r="I59" s="90" t="s">
        <v>47</v>
      </c>
      <c r="J59" s="90" t="s">
        <v>50</v>
      </c>
      <c r="K59" s="90" t="s">
        <v>224</v>
      </c>
      <c r="L59" s="90" t="s">
        <v>224</v>
      </c>
      <c r="M59" s="90" t="s">
        <v>224</v>
      </c>
      <c r="N59" s="90" t="s">
        <v>224</v>
      </c>
      <c r="O59" s="90" t="s">
        <v>224</v>
      </c>
      <c r="P59" s="90" t="s">
        <v>224</v>
      </c>
      <c r="Q59" s="90" t="s">
        <v>224</v>
      </c>
      <c r="R59" s="90" t="s">
        <v>224</v>
      </c>
      <c r="S59" s="90" t="s">
        <v>224</v>
      </c>
      <c r="T59" s="90" t="s">
        <v>224</v>
      </c>
      <c r="U59" s="90" t="s">
        <v>224</v>
      </c>
      <c r="V59" s="90" t="s">
        <v>224</v>
      </c>
      <c r="W59" s="128">
        <v>309202</v>
      </c>
    </row>
    <row r="60" spans="2:23" x14ac:dyDescent="0.15">
      <c r="B60" s="21">
        <v>58</v>
      </c>
      <c r="C60" s="90" t="s">
        <v>43</v>
      </c>
      <c r="D60" s="90" t="s">
        <v>45</v>
      </c>
      <c r="E60" s="90" t="s">
        <v>46</v>
      </c>
      <c r="F60" s="90" t="s">
        <v>44</v>
      </c>
      <c r="G60" s="90" t="s">
        <v>48</v>
      </c>
      <c r="H60" s="90" t="s">
        <v>49</v>
      </c>
      <c r="I60" s="90" t="s">
        <v>47</v>
      </c>
      <c r="J60" s="90" t="s">
        <v>50</v>
      </c>
      <c r="K60" s="90" t="s">
        <v>224</v>
      </c>
      <c r="L60" s="90" t="s">
        <v>224</v>
      </c>
      <c r="M60" s="90" t="s">
        <v>224</v>
      </c>
      <c r="N60" s="90" t="s">
        <v>224</v>
      </c>
      <c r="O60" s="90" t="s">
        <v>224</v>
      </c>
      <c r="P60" s="90" t="s">
        <v>224</v>
      </c>
      <c r="Q60" s="90" t="s">
        <v>224</v>
      </c>
      <c r="R60" s="90" t="s">
        <v>224</v>
      </c>
      <c r="S60" s="90" t="s">
        <v>224</v>
      </c>
      <c r="T60" s="90" t="s">
        <v>224</v>
      </c>
      <c r="U60" s="90" t="s">
        <v>224</v>
      </c>
      <c r="V60" s="90" t="s">
        <v>224</v>
      </c>
      <c r="W60" s="128">
        <v>309202</v>
      </c>
    </row>
    <row r="61" spans="2:23" x14ac:dyDescent="0.15">
      <c r="B61" s="21">
        <v>59</v>
      </c>
      <c r="C61" s="90" t="s">
        <v>43</v>
      </c>
      <c r="D61" s="90" t="s">
        <v>45</v>
      </c>
      <c r="E61" s="90" t="s">
        <v>46</v>
      </c>
      <c r="F61" s="90" t="s">
        <v>44</v>
      </c>
      <c r="G61" s="90" t="s">
        <v>48</v>
      </c>
      <c r="H61" s="90" t="s">
        <v>49</v>
      </c>
      <c r="I61" s="90" t="s">
        <v>47</v>
      </c>
      <c r="J61" s="90" t="s">
        <v>50</v>
      </c>
      <c r="K61" s="90" t="s">
        <v>224</v>
      </c>
      <c r="L61" s="90" t="s">
        <v>224</v>
      </c>
      <c r="M61" s="90" t="s">
        <v>224</v>
      </c>
      <c r="N61" s="90" t="s">
        <v>224</v>
      </c>
      <c r="O61" s="90" t="s">
        <v>224</v>
      </c>
      <c r="P61" s="90" t="s">
        <v>224</v>
      </c>
      <c r="Q61" s="90" t="s">
        <v>224</v>
      </c>
      <c r="R61" s="90" t="s">
        <v>224</v>
      </c>
      <c r="S61" s="90" t="s">
        <v>224</v>
      </c>
      <c r="T61" s="90" t="s">
        <v>224</v>
      </c>
      <c r="U61" s="90" t="s">
        <v>224</v>
      </c>
      <c r="V61" s="90" t="s">
        <v>224</v>
      </c>
      <c r="W61" s="128">
        <v>309202</v>
      </c>
    </row>
    <row r="62" spans="2:23" x14ac:dyDescent="0.15">
      <c r="B62" s="21">
        <v>60</v>
      </c>
      <c r="C62" s="90" t="s">
        <v>43</v>
      </c>
      <c r="D62" s="90" t="s">
        <v>45</v>
      </c>
      <c r="E62" s="90" t="s">
        <v>46</v>
      </c>
      <c r="F62" s="90" t="s">
        <v>44</v>
      </c>
      <c r="G62" s="90" t="s">
        <v>48</v>
      </c>
      <c r="H62" s="90" t="s">
        <v>49</v>
      </c>
      <c r="I62" s="90" t="s">
        <v>47</v>
      </c>
      <c r="J62" s="90" t="s">
        <v>50</v>
      </c>
      <c r="K62" s="90" t="s">
        <v>224</v>
      </c>
      <c r="L62" s="90" t="s">
        <v>224</v>
      </c>
      <c r="M62" s="90" t="s">
        <v>224</v>
      </c>
      <c r="N62" s="90" t="s">
        <v>224</v>
      </c>
      <c r="O62" s="90" t="s">
        <v>224</v>
      </c>
      <c r="P62" s="90" t="s">
        <v>224</v>
      </c>
      <c r="Q62" s="90" t="s">
        <v>224</v>
      </c>
      <c r="R62" s="90" t="s">
        <v>224</v>
      </c>
      <c r="S62" s="90" t="s">
        <v>224</v>
      </c>
      <c r="T62" s="90" t="s">
        <v>224</v>
      </c>
      <c r="U62" s="90" t="s">
        <v>224</v>
      </c>
      <c r="V62" s="90" t="s">
        <v>224</v>
      </c>
      <c r="W62" s="128">
        <v>309202</v>
      </c>
    </row>
    <row r="63" spans="2:23" x14ac:dyDescent="0.15">
      <c r="B63" s="21">
        <v>61</v>
      </c>
      <c r="C63" s="90" t="s">
        <v>43</v>
      </c>
      <c r="D63" s="90" t="s">
        <v>45</v>
      </c>
      <c r="E63" s="90" t="s">
        <v>46</v>
      </c>
      <c r="F63" s="90" t="s">
        <v>44</v>
      </c>
      <c r="G63" s="90" t="s">
        <v>48</v>
      </c>
      <c r="H63" s="90" t="s">
        <v>49</v>
      </c>
      <c r="I63" s="90" t="s">
        <v>47</v>
      </c>
      <c r="J63" s="90" t="s">
        <v>50</v>
      </c>
      <c r="K63" s="90" t="s">
        <v>224</v>
      </c>
      <c r="L63" s="90" t="s">
        <v>224</v>
      </c>
      <c r="M63" s="90" t="s">
        <v>224</v>
      </c>
      <c r="N63" s="90" t="s">
        <v>224</v>
      </c>
      <c r="O63" s="90" t="s">
        <v>224</v>
      </c>
      <c r="P63" s="90" t="s">
        <v>224</v>
      </c>
      <c r="Q63" s="90" t="s">
        <v>224</v>
      </c>
      <c r="R63" s="90" t="s">
        <v>224</v>
      </c>
      <c r="S63" s="90" t="s">
        <v>224</v>
      </c>
      <c r="T63" s="90" t="s">
        <v>224</v>
      </c>
      <c r="U63" s="90" t="s">
        <v>224</v>
      </c>
      <c r="V63" s="90" t="s">
        <v>224</v>
      </c>
      <c r="W63" s="128">
        <v>309202</v>
      </c>
    </row>
    <row r="64" spans="2:23" x14ac:dyDescent="0.15">
      <c r="B64" s="21">
        <v>62</v>
      </c>
      <c r="C64" s="90" t="s">
        <v>43</v>
      </c>
      <c r="D64" s="90" t="s">
        <v>45</v>
      </c>
      <c r="E64" s="90" t="s">
        <v>46</v>
      </c>
      <c r="F64" s="90" t="s">
        <v>44</v>
      </c>
      <c r="G64" s="90" t="s">
        <v>48</v>
      </c>
      <c r="H64" s="90" t="s">
        <v>49</v>
      </c>
      <c r="I64" s="90" t="s">
        <v>47</v>
      </c>
      <c r="J64" s="90" t="s">
        <v>50</v>
      </c>
      <c r="K64" s="90" t="s">
        <v>224</v>
      </c>
      <c r="L64" s="90" t="s">
        <v>224</v>
      </c>
      <c r="M64" s="90" t="s">
        <v>224</v>
      </c>
      <c r="N64" s="90" t="s">
        <v>224</v>
      </c>
      <c r="O64" s="90" t="s">
        <v>224</v>
      </c>
      <c r="P64" s="90" t="s">
        <v>224</v>
      </c>
      <c r="Q64" s="90" t="s">
        <v>224</v>
      </c>
      <c r="R64" s="90" t="s">
        <v>224</v>
      </c>
      <c r="S64" s="90" t="s">
        <v>224</v>
      </c>
      <c r="T64" s="90" t="s">
        <v>224</v>
      </c>
      <c r="U64" s="90" t="s">
        <v>224</v>
      </c>
      <c r="V64" s="90" t="s">
        <v>224</v>
      </c>
      <c r="W64" s="128">
        <v>309202</v>
      </c>
    </row>
    <row r="65" spans="2:23" x14ac:dyDescent="0.15">
      <c r="B65" s="21">
        <v>63</v>
      </c>
      <c r="C65" s="90" t="s">
        <v>43</v>
      </c>
      <c r="D65" s="90" t="s">
        <v>45</v>
      </c>
      <c r="E65" s="90" t="s">
        <v>46</v>
      </c>
      <c r="F65" s="90" t="s">
        <v>44</v>
      </c>
      <c r="G65" s="90" t="s">
        <v>48</v>
      </c>
      <c r="H65" s="90" t="s">
        <v>49</v>
      </c>
      <c r="I65" s="90" t="s">
        <v>47</v>
      </c>
      <c r="J65" s="90" t="s">
        <v>50</v>
      </c>
      <c r="K65" s="90" t="s">
        <v>224</v>
      </c>
      <c r="L65" s="90" t="s">
        <v>224</v>
      </c>
      <c r="M65" s="90" t="s">
        <v>224</v>
      </c>
      <c r="N65" s="90" t="s">
        <v>224</v>
      </c>
      <c r="O65" s="90" t="s">
        <v>224</v>
      </c>
      <c r="P65" s="90" t="s">
        <v>224</v>
      </c>
      <c r="Q65" s="90" t="s">
        <v>224</v>
      </c>
      <c r="R65" s="90" t="s">
        <v>224</v>
      </c>
      <c r="S65" s="90" t="s">
        <v>224</v>
      </c>
      <c r="T65" s="90" t="s">
        <v>224</v>
      </c>
      <c r="U65" s="90" t="s">
        <v>224</v>
      </c>
      <c r="V65" s="90" t="s">
        <v>224</v>
      </c>
      <c r="W65" s="128">
        <v>309202</v>
      </c>
    </row>
    <row r="66" spans="2:23" x14ac:dyDescent="0.15">
      <c r="B66" s="21">
        <v>64</v>
      </c>
      <c r="C66" s="90" t="s">
        <v>43</v>
      </c>
      <c r="D66" s="90" t="s">
        <v>45</v>
      </c>
      <c r="E66" s="90" t="s">
        <v>46</v>
      </c>
      <c r="F66" s="90" t="s">
        <v>44</v>
      </c>
      <c r="G66" s="90" t="s">
        <v>48</v>
      </c>
      <c r="H66" s="90" t="s">
        <v>49</v>
      </c>
      <c r="I66" s="90" t="s">
        <v>47</v>
      </c>
      <c r="J66" s="90" t="s">
        <v>50</v>
      </c>
      <c r="K66" s="90" t="s">
        <v>224</v>
      </c>
      <c r="L66" s="90" t="s">
        <v>224</v>
      </c>
      <c r="M66" s="90" t="s">
        <v>224</v>
      </c>
      <c r="N66" s="90" t="s">
        <v>224</v>
      </c>
      <c r="O66" s="90" t="s">
        <v>224</v>
      </c>
      <c r="P66" s="90" t="s">
        <v>224</v>
      </c>
      <c r="Q66" s="90" t="s">
        <v>224</v>
      </c>
      <c r="R66" s="90" t="s">
        <v>224</v>
      </c>
      <c r="S66" s="90" t="s">
        <v>224</v>
      </c>
      <c r="T66" s="90" t="s">
        <v>224</v>
      </c>
      <c r="U66" s="90" t="s">
        <v>224</v>
      </c>
      <c r="V66" s="90" t="s">
        <v>224</v>
      </c>
      <c r="W66" s="128">
        <v>309202</v>
      </c>
    </row>
    <row r="67" spans="2:23" x14ac:dyDescent="0.15">
      <c r="B67" s="21">
        <v>65</v>
      </c>
      <c r="C67" s="90" t="s">
        <v>43</v>
      </c>
      <c r="D67" s="90" t="s">
        <v>45</v>
      </c>
      <c r="E67" s="90" t="s">
        <v>46</v>
      </c>
      <c r="F67" s="90" t="s">
        <v>44</v>
      </c>
      <c r="G67" s="90" t="s">
        <v>48</v>
      </c>
      <c r="H67" s="90" t="s">
        <v>49</v>
      </c>
      <c r="I67" s="90" t="s">
        <v>47</v>
      </c>
      <c r="J67" s="90" t="s">
        <v>50</v>
      </c>
      <c r="K67" s="90" t="s">
        <v>224</v>
      </c>
      <c r="L67" s="90" t="s">
        <v>224</v>
      </c>
      <c r="M67" s="90" t="s">
        <v>224</v>
      </c>
      <c r="N67" s="90" t="s">
        <v>224</v>
      </c>
      <c r="O67" s="90" t="s">
        <v>224</v>
      </c>
      <c r="P67" s="90" t="s">
        <v>224</v>
      </c>
      <c r="Q67" s="90" t="s">
        <v>224</v>
      </c>
      <c r="R67" s="90" t="s">
        <v>224</v>
      </c>
      <c r="S67" s="90" t="s">
        <v>224</v>
      </c>
      <c r="T67" s="90" t="s">
        <v>224</v>
      </c>
      <c r="U67" s="90" t="s">
        <v>224</v>
      </c>
      <c r="V67" s="90" t="s">
        <v>224</v>
      </c>
      <c r="W67" s="128">
        <v>309202</v>
      </c>
    </row>
    <row r="68" spans="2:23" x14ac:dyDescent="0.15">
      <c r="B68" s="21">
        <v>66</v>
      </c>
      <c r="C68" s="90" t="s">
        <v>43</v>
      </c>
      <c r="D68" s="90" t="s">
        <v>45</v>
      </c>
      <c r="E68" s="90" t="s">
        <v>46</v>
      </c>
      <c r="F68" s="90" t="s">
        <v>44</v>
      </c>
      <c r="G68" s="90" t="s">
        <v>48</v>
      </c>
      <c r="H68" s="90" t="s">
        <v>49</v>
      </c>
      <c r="I68" s="90" t="s">
        <v>47</v>
      </c>
      <c r="J68" s="90" t="s">
        <v>50</v>
      </c>
      <c r="K68" s="90" t="s">
        <v>224</v>
      </c>
      <c r="L68" s="90" t="s">
        <v>224</v>
      </c>
      <c r="M68" s="90" t="s">
        <v>224</v>
      </c>
      <c r="N68" s="90" t="s">
        <v>224</v>
      </c>
      <c r="O68" s="90" t="s">
        <v>224</v>
      </c>
      <c r="P68" s="90" t="s">
        <v>224</v>
      </c>
      <c r="Q68" s="90" t="s">
        <v>224</v>
      </c>
      <c r="R68" s="90" t="s">
        <v>224</v>
      </c>
      <c r="S68" s="90" t="s">
        <v>224</v>
      </c>
      <c r="T68" s="90" t="s">
        <v>224</v>
      </c>
      <c r="U68" s="90" t="s">
        <v>224</v>
      </c>
      <c r="V68" s="90" t="s">
        <v>224</v>
      </c>
      <c r="W68" s="128">
        <v>309202</v>
      </c>
    </row>
    <row r="69" spans="2:23" x14ac:dyDescent="0.15">
      <c r="B69" s="21">
        <v>67</v>
      </c>
      <c r="C69" s="90" t="s">
        <v>43</v>
      </c>
      <c r="D69" s="90" t="s">
        <v>45</v>
      </c>
      <c r="E69" s="90" t="s">
        <v>46</v>
      </c>
      <c r="F69" s="90" t="s">
        <v>44</v>
      </c>
      <c r="G69" s="90" t="s">
        <v>48</v>
      </c>
      <c r="H69" s="90" t="s">
        <v>49</v>
      </c>
      <c r="I69" s="90" t="s">
        <v>47</v>
      </c>
      <c r="J69" s="90" t="s">
        <v>50</v>
      </c>
      <c r="K69" s="90" t="s">
        <v>224</v>
      </c>
      <c r="L69" s="90" t="s">
        <v>224</v>
      </c>
      <c r="M69" s="90" t="s">
        <v>224</v>
      </c>
      <c r="N69" s="90" t="s">
        <v>224</v>
      </c>
      <c r="O69" s="90" t="s">
        <v>224</v>
      </c>
      <c r="P69" s="90" t="s">
        <v>224</v>
      </c>
      <c r="Q69" s="90" t="s">
        <v>224</v>
      </c>
      <c r="R69" s="90" t="s">
        <v>224</v>
      </c>
      <c r="S69" s="90" t="s">
        <v>224</v>
      </c>
      <c r="T69" s="90" t="s">
        <v>224</v>
      </c>
      <c r="U69" s="90" t="s">
        <v>224</v>
      </c>
      <c r="V69" s="90" t="s">
        <v>224</v>
      </c>
      <c r="W69" s="128">
        <v>309202</v>
      </c>
    </row>
    <row r="70" spans="2:23" x14ac:dyDescent="0.15">
      <c r="B70" s="21">
        <v>68</v>
      </c>
      <c r="C70" s="90" t="s">
        <v>43</v>
      </c>
      <c r="D70" s="90" t="s">
        <v>45</v>
      </c>
      <c r="E70" s="90" t="s">
        <v>46</v>
      </c>
      <c r="F70" s="90" t="s">
        <v>44</v>
      </c>
      <c r="G70" s="90" t="s">
        <v>48</v>
      </c>
      <c r="H70" s="90" t="s">
        <v>49</v>
      </c>
      <c r="I70" s="90" t="s">
        <v>47</v>
      </c>
      <c r="J70" s="90" t="s">
        <v>50</v>
      </c>
      <c r="K70" s="90" t="s">
        <v>224</v>
      </c>
      <c r="L70" s="90" t="s">
        <v>224</v>
      </c>
      <c r="M70" s="90" t="s">
        <v>224</v>
      </c>
      <c r="N70" s="90" t="s">
        <v>224</v>
      </c>
      <c r="O70" s="90" t="s">
        <v>224</v>
      </c>
      <c r="P70" s="90" t="s">
        <v>224</v>
      </c>
      <c r="Q70" s="90" t="s">
        <v>224</v>
      </c>
      <c r="R70" s="90" t="s">
        <v>224</v>
      </c>
      <c r="S70" s="90" t="s">
        <v>224</v>
      </c>
      <c r="T70" s="90" t="s">
        <v>224</v>
      </c>
      <c r="U70" s="90" t="s">
        <v>224</v>
      </c>
      <c r="V70" s="90" t="s">
        <v>224</v>
      </c>
      <c r="W70" s="128">
        <v>309202</v>
      </c>
    </row>
    <row r="71" spans="2:23" x14ac:dyDescent="0.15">
      <c r="B71" s="21">
        <v>69</v>
      </c>
      <c r="C71" s="90" t="s">
        <v>43</v>
      </c>
      <c r="D71" s="90" t="s">
        <v>45</v>
      </c>
      <c r="E71" s="90" t="s">
        <v>46</v>
      </c>
      <c r="F71" s="90" t="s">
        <v>44</v>
      </c>
      <c r="G71" s="90" t="s">
        <v>48</v>
      </c>
      <c r="H71" s="90" t="s">
        <v>49</v>
      </c>
      <c r="I71" s="90" t="s">
        <v>47</v>
      </c>
      <c r="J71" s="90" t="s">
        <v>50</v>
      </c>
      <c r="K71" s="90" t="s">
        <v>224</v>
      </c>
      <c r="L71" s="90" t="s">
        <v>224</v>
      </c>
      <c r="M71" s="90" t="s">
        <v>224</v>
      </c>
      <c r="N71" s="90" t="s">
        <v>224</v>
      </c>
      <c r="O71" s="90" t="s">
        <v>224</v>
      </c>
      <c r="P71" s="90" t="s">
        <v>224</v>
      </c>
      <c r="Q71" s="90" t="s">
        <v>224</v>
      </c>
      <c r="R71" s="90" t="s">
        <v>224</v>
      </c>
      <c r="S71" s="90" t="s">
        <v>224</v>
      </c>
      <c r="T71" s="90" t="s">
        <v>224</v>
      </c>
      <c r="U71" s="90" t="s">
        <v>224</v>
      </c>
      <c r="V71" s="90" t="s">
        <v>224</v>
      </c>
      <c r="W71" s="128">
        <v>309202</v>
      </c>
    </row>
    <row r="72" spans="2:23" x14ac:dyDescent="0.15">
      <c r="B72" s="21">
        <v>70</v>
      </c>
      <c r="C72" s="90" t="s">
        <v>43</v>
      </c>
      <c r="D72" s="90" t="s">
        <v>45</v>
      </c>
      <c r="E72" s="90" t="s">
        <v>46</v>
      </c>
      <c r="F72" s="90" t="s">
        <v>44</v>
      </c>
      <c r="G72" s="90" t="s">
        <v>48</v>
      </c>
      <c r="H72" s="90" t="s">
        <v>49</v>
      </c>
      <c r="I72" s="90" t="s">
        <v>47</v>
      </c>
      <c r="J72" s="90" t="s">
        <v>50</v>
      </c>
      <c r="K72" s="90" t="s">
        <v>224</v>
      </c>
      <c r="L72" s="90" t="s">
        <v>224</v>
      </c>
      <c r="M72" s="90" t="s">
        <v>224</v>
      </c>
      <c r="N72" s="90" t="s">
        <v>224</v>
      </c>
      <c r="O72" s="90" t="s">
        <v>224</v>
      </c>
      <c r="P72" s="90" t="s">
        <v>224</v>
      </c>
      <c r="Q72" s="90" t="s">
        <v>224</v>
      </c>
      <c r="R72" s="90" t="s">
        <v>224</v>
      </c>
      <c r="S72" s="90" t="s">
        <v>224</v>
      </c>
      <c r="T72" s="90" t="s">
        <v>224</v>
      </c>
      <c r="U72" s="90" t="s">
        <v>224</v>
      </c>
      <c r="V72" s="90" t="s">
        <v>224</v>
      </c>
      <c r="W72" s="128">
        <v>309202</v>
      </c>
    </row>
    <row r="73" spans="2:23" x14ac:dyDescent="0.15">
      <c r="B73" s="21">
        <v>71</v>
      </c>
      <c r="C73" s="90" t="s">
        <v>43</v>
      </c>
      <c r="D73" s="90" t="s">
        <v>45</v>
      </c>
      <c r="E73" s="90" t="s">
        <v>46</v>
      </c>
      <c r="F73" s="90" t="s">
        <v>44</v>
      </c>
      <c r="G73" s="90" t="s">
        <v>48</v>
      </c>
      <c r="H73" s="90" t="s">
        <v>49</v>
      </c>
      <c r="I73" s="90" t="s">
        <v>47</v>
      </c>
      <c r="J73" s="90" t="s">
        <v>50</v>
      </c>
      <c r="K73" s="90" t="s">
        <v>224</v>
      </c>
      <c r="L73" s="90" t="s">
        <v>224</v>
      </c>
      <c r="M73" s="90" t="s">
        <v>224</v>
      </c>
      <c r="N73" s="90" t="s">
        <v>224</v>
      </c>
      <c r="O73" s="90" t="s">
        <v>224</v>
      </c>
      <c r="P73" s="90" t="s">
        <v>224</v>
      </c>
      <c r="Q73" s="90" t="s">
        <v>224</v>
      </c>
      <c r="R73" s="90" t="s">
        <v>224</v>
      </c>
      <c r="S73" s="90" t="s">
        <v>224</v>
      </c>
      <c r="T73" s="90" t="s">
        <v>224</v>
      </c>
      <c r="U73" s="90" t="s">
        <v>224</v>
      </c>
      <c r="V73" s="90" t="s">
        <v>224</v>
      </c>
      <c r="W73" s="128">
        <v>309202</v>
      </c>
    </row>
    <row r="74" spans="2:23" x14ac:dyDescent="0.15">
      <c r="B74" s="21">
        <v>72</v>
      </c>
      <c r="C74" s="90" t="s">
        <v>43</v>
      </c>
      <c r="D74" s="90" t="s">
        <v>45</v>
      </c>
      <c r="E74" s="90" t="s">
        <v>46</v>
      </c>
      <c r="F74" s="90" t="s">
        <v>44</v>
      </c>
      <c r="G74" s="90" t="s">
        <v>48</v>
      </c>
      <c r="H74" s="90" t="s">
        <v>49</v>
      </c>
      <c r="I74" s="90" t="s">
        <v>47</v>
      </c>
      <c r="J74" s="90" t="s">
        <v>50</v>
      </c>
      <c r="K74" s="90" t="s">
        <v>224</v>
      </c>
      <c r="L74" s="90" t="s">
        <v>224</v>
      </c>
      <c r="M74" s="90" t="s">
        <v>224</v>
      </c>
      <c r="N74" s="90" t="s">
        <v>224</v>
      </c>
      <c r="O74" s="90" t="s">
        <v>224</v>
      </c>
      <c r="P74" s="90" t="s">
        <v>224</v>
      </c>
      <c r="Q74" s="90" t="s">
        <v>224</v>
      </c>
      <c r="R74" s="90" t="s">
        <v>224</v>
      </c>
      <c r="S74" s="90" t="s">
        <v>224</v>
      </c>
      <c r="T74" s="90" t="s">
        <v>224</v>
      </c>
      <c r="U74" s="90" t="s">
        <v>224</v>
      </c>
      <c r="V74" s="90" t="s">
        <v>224</v>
      </c>
      <c r="W74" s="128">
        <v>309202</v>
      </c>
    </row>
    <row r="75" spans="2:23" x14ac:dyDescent="0.15">
      <c r="B75" s="21">
        <v>73</v>
      </c>
      <c r="C75" s="90" t="s">
        <v>43</v>
      </c>
      <c r="D75" s="90" t="s">
        <v>45</v>
      </c>
      <c r="E75" s="90" t="s">
        <v>46</v>
      </c>
      <c r="F75" s="90" t="s">
        <v>44</v>
      </c>
      <c r="G75" s="90" t="s">
        <v>48</v>
      </c>
      <c r="H75" s="90" t="s">
        <v>49</v>
      </c>
      <c r="I75" s="90" t="s">
        <v>47</v>
      </c>
      <c r="J75" s="90" t="s">
        <v>50</v>
      </c>
      <c r="K75" s="90" t="s">
        <v>224</v>
      </c>
      <c r="L75" s="90" t="s">
        <v>224</v>
      </c>
      <c r="M75" s="90" t="s">
        <v>224</v>
      </c>
      <c r="N75" s="90" t="s">
        <v>224</v>
      </c>
      <c r="O75" s="90" t="s">
        <v>224</v>
      </c>
      <c r="P75" s="90" t="s">
        <v>224</v>
      </c>
      <c r="Q75" s="90" t="s">
        <v>224</v>
      </c>
      <c r="R75" s="90" t="s">
        <v>224</v>
      </c>
      <c r="S75" s="90" t="s">
        <v>224</v>
      </c>
      <c r="T75" s="90" t="s">
        <v>224</v>
      </c>
      <c r="U75" s="90" t="s">
        <v>224</v>
      </c>
      <c r="V75" s="90" t="s">
        <v>224</v>
      </c>
      <c r="W75" s="128">
        <v>309202</v>
      </c>
    </row>
    <row r="76" spans="2:23" x14ac:dyDescent="0.15">
      <c r="B76" s="21">
        <v>74</v>
      </c>
      <c r="C76" s="90" t="s">
        <v>43</v>
      </c>
      <c r="D76" s="90" t="s">
        <v>45</v>
      </c>
      <c r="E76" s="90" t="s">
        <v>46</v>
      </c>
      <c r="F76" s="90" t="s">
        <v>44</v>
      </c>
      <c r="G76" s="90" t="s">
        <v>48</v>
      </c>
      <c r="H76" s="90" t="s">
        <v>49</v>
      </c>
      <c r="I76" s="90" t="s">
        <v>47</v>
      </c>
      <c r="J76" s="90" t="s">
        <v>50</v>
      </c>
      <c r="K76" s="90" t="s">
        <v>224</v>
      </c>
      <c r="L76" s="90" t="s">
        <v>224</v>
      </c>
      <c r="M76" s="90" t="s">
        <v>224</v>
      </c>
      <c r="N76" s="90" t="s">
        <v>224</v>
      </c>
      <c r="O76" s="90" t="s">
        <v>224</v>
      </c>
      <c r="P76" s="90" t="s">
        <v>224</v>
      </c>
      <c r="Q76" s="90" t="s">
        <v>224</v>
      </c>
      <c r="R76" s="90" t="s">
        <v>224</v>
      </c>
      <c r="S76" s="90" t="s">
        <v>224</v>
      </c>
      <c r="T76" s="90" t="s">
        <v>224</v>
      </c>
      <c r="U76" s="90" t="s">
        <v>224</v>
      </c>
      <c r="V76" s="90" t="s">
        <v>224</v>
      </c>
      <c r="W76" s="128">
        <v>309202</v>
      </c>
    </row>
    <row r="77" spans="2:23" x14ac:dyDescent="0.15">
      <c r="B77" s="21">
        <v>75</v>
      </c>
      <c r="C77" s="90" t="s">
        <v>43</v>
      </c>
      <c r="D77" s="90" t="s">
        <v>45</v>
      </c>
      <c r="E77" s="90" t="s">
        <v>46</v>
      </c>
      <c r="F77" s="90" t="s">
        <v>44</v>
      </c>
      <c r="G77" s="90" t="s">
        <v>48</v>
      </c>
      <c r="H77" s="90" t="s">
        <v>49</v>
      </c>
      <c r="I77" s="90" t="s">
        <v>47</v>
      </c>
      <c r="J77" s="90" t="s">
        <v>50</v>
      </c>
      <c r="K77" s="90" t="s">
        <v>224</v>
      </c>
      <c r="L77" s="90" t="s">
        <v>224</v>
      </c>
      <c r="M77" s="90" t="s">
        <v>224</v>
      </c>
      <c r="N77" s="90" t="s">
        <v>224</v>
      </c>
      <c r="O77" s="90" t="s">
        <v>224</v>
      </c>
      <c r="P77" s="90" t="s">
        <v>224</v>
      </c>
      <c r="Q77" s="90" t="s">
        <v>224</v>
      </c>
      <c r="R77" s="90" t="s">
        <v>224</v>
      </c>
      <c r="S77" s="90" t="s">
        <v>224</v>
      </c>
      <c r="T77" s="90" t="s">
        <v>224</v>
      </c>
      <c r="U77" s="90" t="s">
        <v>224</v>
      </c>
      <c r="V77" s="90" t="s">
        <v>224</v>
      </c>
      <c r="W77" s="128">
        <v>309202</v>
      </c>
    </row>
    <row r="78" spans="2:23" x14ac:dyDescent="0.15">
      <c r="B78" s="21">
        <v>76</v>
      </c>
      <c r="C78" s="90" t="s">
        <v>43</v>
      </c>
      <c r="D78" s="90" t="s">
        <v>45</v>
      </c>
      <c r="E78" s="90" t="s">
        <v>46</v>
      </c>
      <c r="F78" s="90" t="s">
        <v>44</v>
      </c>
      <c r="G78" s="90" t="s">
        <v>48</v>
      </c>
      <c r="H78" s="90" t="s">
        <v>49</v>
      </c>
      <c r="I78" s="90" t="s">
        <v>47</v>
      </c>
      <c r="J78" s="90" t="s">
        <v>50</v>
      </c>
      <c r="K78" s="90" t="s">
        <v>224</v>
      </c>
      <c r="L78" s="90" t="s">
        <v>224</v>
      </c>
      <c r="M78" s="90" t="s">
        <v>224</v>
      </c>
      <c r="N78" s="90" t="s">
        <v>224</v>
      </c>
      <c r="O78" s="90" t="s">
        <v>224</v>
      </c>
      <c r="P78" s="90" t="s">
        <v>224</v>
      </c>
      <c r="Q78" s="90" t="s">
        <v>224</v>
      </c>
      <c r="R78" s="90" t="s">
        <v>224</v>
      </c>
      <c r="S78" s="90" t="s">
        <v>224</v>
      </c>
      <c r="T78" s="90" t="s">
        <v>224</v>
      </c>
      <c r="U78" s="90" t="s">
        <v>224</v>
      </c>
      <c r="V78" s="90" t="s">
        <v>224</v>
      </c>
      <c r="W78" s="128">
        <v>309202</v>
      </c>
    </row>
    <row r="79" spans="2:23" x14ac:dyDescent="0.15">
      <c r="B79" s="21">
        <v>77</v>
      </c>
      <c r="C79" s="90" t="s">
        <v>43</v>
      </c>
      <c r="D79" s="90" t="s">
        <v>45</v>
      </c>
      <c r="E79" s="90" t="s">
        <v>46</v>
      </c>
      <c r="F79" s="90" t="s">
        <v>44</v>
      </c>
      <c r="G79" s="90" t="s">
        <v>48</v>
      </c>
      <c r="H79" s="90" t="s">
        <v>49</v>
      </c>
      <c r="I79" s="90" t="s">
        <v>47</v>
      </c>
      <c r="J79" s="90" t="s">
        <v>50</v>
      </c>
      <c r="K79" s="90" t="s">
        <v>224</v>
      </c>
      <c r="L79" s="90" t="s">
        <v>224</v>
      </c>
      <c r="M79" s="90" t="s">
        <v>224</v>
      </c>
      <c r="N79" s="90" t="s">
        <v>224</v>
      </c>
      <c r="O79" s="90" t="s">
        <v>224</v>
      </c>
      <c r="P79" s="90" t="s">
        <v>224</v>
      </c>
      <c r="Q79" s="90" t="s">
        <v>224</v>
      </c>
      <c r="R79" s="90" t="s">
        <v>224</v>
      </c>
      <c r="S79" s="90" t="s">
        <v>224</v>
      </c>
      <c r="T79" s="90" t="s">
        <v>224</v>
      </c>
      <c r="U79" s="90" t="s">
        <v>224</v>
      </c>
      <c r="V79" s="90" t="s">
        <v>224</v>
      </c>
      <c r="W79" s="128">
        <v>309202</v>
      </c>
    </row>
    <row r="80" spans="2:23" x14ac:dyDescent="0.15">
      <c r="B80" s="21">
        <v>78</v>
      </c>
      <c r="C80" s="90" t="s">
        <v>43</v>
      </c>
      <c r="D80" s="90" t="s">
        <v>45</v>
      </c>
      <c r="E80" s="90" t="s">
        <v>46</v>
      </c>
      <c r="F80" s="90" t="s">
        <v>44</v>
      </c>
      <c r="G80" s="90" t="s">
        <v>48</v>
      </c>
      <c r="H80" s="90" t="s">
        <v>49</v>
      </c>
      <c r="I80" s="90" t="s">
        <v>47</v>
      </c>
      <c r="J80" s="90" t="s">
        <v>50</v>
      </c>
      <c r="K80" s="90" t="s">
        <v>224</v>
      </c>
      <c r="L80" s="90" t="s">
        <v>224</v>
      </c>
      <c r="M80" s="90" t="s">
        <v>224</v>
      </c>
      <c r="N80" s="90" t="s">
        <v>224</v>
      </c>
      <c r="O80" s="90" t="s">
        <v>224</v>
      </c>
      <c r="P80" s="90" t="s">
        <v>224</v>
      </c>
      <c r="Q80" s="90" t="s">
        <v>224</v>
      </c>
      <c r="R80" s="90" t="s">
        <v>224</v>
      </c>
      <c r="S80" s="90" t="s">
        <v>224</v>
      </c>
      <c r="T80" s="90" t="s">
        <v>224</v>
      </c>
      <c r="U80" s="90" t="s">
        <v>224</v>
      </c>
      <c r="V80" s="90" t="s">
        <v>224</v>
      </c>
      <c r="W80" s="128">
        <v>309202</v>
      </c>
    </row>
    <row r="81" spans="2:23" x14ac:dyDescent="0.15">
      <c r="B81" s="21">
        <v>79</v>
      </c>
      <c r="C81" s="90" t="s">
        <v>43</v>
      </c>
      <c r="D81" s="90" t="s">
        <v>45</v>
      </c>
      <c r="E81" s="90" t="s">
        <v>46</v>
      </c>
      <c r="F81" s="90" t="s">
        <v>44</v>
      </c>
      <c r="G81" s="90" t="s">
        <v>48</v>
      </c>
      <c r="H81" s="90" t="s">
        <v>49</v>
      </c>
      <c r="I81" s="90" t="s">
        <v>47</v>
      </c>
      <c r="J81" s="90" t="s">
        <v>50</v>
      </c>
      <c r="K81" s="90" t="s">
        <v>224</v>
      </c>
      <c r="L81" s="90" t="s">
        <v>224</v>
      </c>
      <c r="M81" s="90" t="s">
        <v>224</v>
      </c>
      <c r="N81" s="90" t="s">
        <v>224</v>
      </c>
      <c r="O81" s="90" t="s">
        <v>224</v>
      </c>
      <c r="P81" s="90" t="s">
        <v>224</v>
      </c>
      <c r="Q81" s="90" t="s">
        <v>224</v>
      </c>
      <c r="R81" s="90" t="s">
        <v>224</v>
      </c>
      <c r="S81" s="90" t="s">
        <v>224</v>
      </c>
      <c r="T81" s="90" t="s">
        <v>224</v>
      </c>
      <c r="U81" s="90" t="s">
        <v>224</v>
      </c>
      <c r="V81" s="90" t="s">
        <v>224</v>
      </c>
      <c r="W81" s="128">
        <v>309202</v>
      </c>
    </row>
    <row r="82" spans="2:23" x14ac:dyDescent="0.15">
      <c r="B82" s="21">
        <v>80</v>
      </c>
      <c r="C82" s="90" t="s">
        <v>43</v>
      </c>
      <c r="D82" s="90" t="s">
        <v>45</v>
      </c>
      <c r="E82" s="90" t="s">
        <v>46</v>
      </c>
      <c r="F82" s="90" t="s">
        <v>44</v>
      </c>
      <c r="G82" s="90" t="s">
        <v>48</v>
      </c>
      <c r="H82" s="90" t="s">
        <v>49</v>
      </c>
      <c r="I82" s="90" t="s">
        <v>47</v>
      </c>
      <c r="J82" s="90" t="s">
        <v>50</v>
      </c>
      <c r="K82" s="90" t="s">
        <v>224</v>
      </c>
      <c r="L82" s="90" t="s">
        <v>224</v>
      </c>
      <c r="M82" s="90" t="s">
        <v>224</v>
      </c>
      <c r="N82" s="90" t="s">
        <v>224</v>
      </c>
      <c r="O82" s="90" t="s">
        <v>224</v>
      </c>
      <c r="P82" s="90" t="s">
        <v>224</v>
      </c>
      <c r="Q82" s="90" t="s">
        <v>224</v>
      </c>
      <c r="R82" s="90" t="s">
        <v>224</v>
      </c>
      <c r="S82" s="90" t="s">
        <v>224</v>
      </c>
      <c r="T82" s="90" t="s">
        <v>224</v>
      </c>
      <c r="U82" s="90" t="s">
        <v>224</v>
      </c>
      <c r="V82" s="90" t="s">
        <v>224</v>
      </c>
      <c r="W82" s="128">
        <v>309202</v>
      </c>
    </row>
    <row r="83" spans="2:23" x14ac:dyDescent="0.15">
      <c r="B83" s="21">
        <v>81</v>
      </c>
      <c r="C83" s="90" t="s">
        <v>43</v>
      </c>
      <c r="D83" s="90" t="s">
        <v>45</v>
      </c>
      <c r="E83" s="90" t="s">
        <v>46</v>
      </c>
      <c r="F83" s="90" t="s">
        <v>44</v>
      </c>
      <c r="G83" s="90" t="s">
        <v>48</v>
      </c>
      <c r="H83" s="90" t="s">
        <v>49</v>
      </c>
      <c r="I83" s="90" t="s">
        <v>47</v>
      </c>
      <c r="J83" s="90" t="s">
        <v>50</v>
      </c>
      <c r="K83" s="90" t="s">
        <v>224</v>
      </c>
      <c r="L83" s="90" t="s">
        <v>224</v>
      </c>
      <c r="M83" s="90" t="s">
        <v>224</v>
      </c>
      <c r="N83" s="90" t="s">
        <v>224</v>
      </c>
      <c r="O83" s="90" t="s">
        <v>224</v>
      </c>
      <c r="P83" s="90" t="s">
        <v>224</v>
      </c>
      <c r="Q83" s="90" t="s">
        <v>224</v>
      </c>
      <c r="R83" s="90" t="s">
        <v>224</v>
      </c>
      <c r="S83" s="90" t="s">
        <v>224</v>
      </c>
      <c r="T83" s="90" t="s">
        <v>224</v>
      </c>
      <c r="U83" s="90" t="s">
        <v>224</v>
      </c>
      <c r="V83" s="90" t="s">
        <v>224</v>
      </c>
      <c r="W83" s="128">
        <v>309202</v>
      </c>
    </row>
    <row r="84" spans="2:23" x14ac:dyDescent="0.15">
      <c r="B84" s="21">
        <v>82</v>
      </c>
      <c r="C84" s="90" t="s">
        <v>43</v>
      </c>
      <c r="D84" s="90" t="s">
        <v>45</v>
      </c>
      <c r="E84" s="90" t="s">
        <v>46</v>
      </c>
      <c r="F84" s="90" t="s">
        <v>44</v>
      </c>
      <c r="G84" s="90" t="s">
        <v>48</v>
      </c>
      <c r="H84" s="90" t="s">
        <v>49</v>
      </c>
      <c r="I84" s="90" t="s">
        <v>47</v>
      </c>
      <c r="J84" s="90" t="s">
        <v>50</v>
      </c>
      <c r="K84" s="90" t="s">
        <v>224</v>
      </c>
      <c r="L84" s="90" t="s">
        <v>224</v>
      </c>
      <c r="M84" s="90" t="s">
        <v>224</v>
      </c>
      <c r="N84" s="90" t="s">
        <v>224</v>
      </c>
      <c r="O84" s="90" t="s">
        <v>224</v>
      </c>
      <c r="P84" s="90" t="s">
        <v>224</v>
      </c>
      <c r="Q84" s="90" t="s">
        <v>224</v>
      </c>
      <c r="R84" s="90" t="s">
        <v>224</v>
      </c>
      <c r="S84" s="90" t="s">
        <v>224</v>
      </c>
      <c r="T84" s="90" t="s">
        <v>224</v>
      </c>
      <c r="U84" s="90" t="s">
        <v>224</v>
      </c>
      <c r="V84" s="90" t="s">
        <v>224</v>
      </c>
      <c r="W84" s="128">
        <v>309202</v>
      </c>
    </row>
    <row r="85" spans="2:23" x14ac:dyDescent="0.15">
      <c r="B85" s="21">
        <v>83</v>
      </c>
      <c r="C85" s="90" t="s">
        <v>43</v>
      </c>
      <c r="D85" s="90" t="s">
        <v>45</v>
      </c>
      <c r="E85" s="90" t="s">
        <v>46</v>
      </c>
      <c r="F85" s="90" t="s">
        <v>44</v>
      </c>
      <c r="G85" s="90" t="s">
        <v>48</v>
      </c>
      <c r="H85" s="90" t="s">
        <v>49</v>
      </c>
      <c r="I85" s="90" t="s">
        <v>47</v>
      </c>
      <c r="J85" s="90" t="s">
        <v>50</v>
      </c>
      <c r="K85" s="90" t="s">
        <v>224</v>
      </c>
      <c r="L85" s="90" t="s">
        <v>224</v>
      </c>
      <c r="M85" s="90" t="s">
        <v>224</v>
      </c>
      <c r="N85" s="90" t="s">
        <v>224</v>
      </c>
      <c r="O85" s="90" t="s">
        <v>224</v>
      </c>
      <c r="P85" s="90" t="s">
        <v>224</v>
      </c>
      <c r="Q85" s="90" t="s">
        <v>224</v>
      </c>
      <c r="R85" s="90" t="s">
        <v>224</v>
      </c>
      <c r="S85" s="90" t="s">
        <v>224</v>
      </c>
      <c r="T85" s="90" t="s">
        <v>224</v>
      </c>
      <c r="U85" s="90" t="s">
        <v>224</v>
      </c>
      <c r="V85" s="90" t="s">
        <v>224</v>
      </c>
      <c r="W85" s="128">
        <v>309202</v>
      </c>
    </row>
    <row r="86" spans="2:23" x14ac:dyDescent="0.15">
      <c r="B86" s="21">
        <v>84</v>
      </c>
      <c r="C86" s="90" t="s">
        <v>43</v>
      </c>
      <c r="D86" s="90" t="s">
        <v>45</v>
      </c>
      <c r="E86" s="90" t="s">
        <v>46</v>
      </c>
      <c r="F86" s="90" t="s">
        <v>44</v>
      </c>
      <c r="G86" s="90" t="s">
        <v>48</v>
      </c>
      <c r="H86" s="90" t="s">
        <v>49</v>
      </c>
      <c r="I86" s="90" t="s">
        <v>47</v>
      </c>
      <c r="J86" s="90" t="s">
        <v>50</v>
      </c>
      <c r="K86" s="90" t="s">
        <v>224</v>
      </c>
      <c r="L86" s="90" t="s">
        <v>224</v>
      </c>
      <c r="M86" s="90" t="s">
        <v>224</v>
      </c>
      <c r="N86" s="90" t="s">
        <v>224</v>
      </c>
      <c r="O86" s="90" t="s">
        <v>224</v>
      </c>
      <c r="P86" s="90" t="s">
        <v>224</v>
      </c>
      <c r="Q86" s="90" t="s">
        <v>224</v>
      </c>
      <c r="R86" s="90" t="s">
        <v>224</v>
      </c>
      <c r="S86" s="90" t="s">
        <v>224</v>
      </c>
      <c r="T86" s="90" t="s">
        <v>224</v>
      </c>
      <c r="U86" s="90" t="s">
        <v>224</v>
      </c>
      <c r="V86" s="90" t="s">
        <v>224</v>
      </c>
      <c r="W86" s="128">
        <v>309202</v>
      </c>
    </row>
    <row r="87" spans="2:23" x14ac:dyDescent="0.15">
      <c r="B87" s="21">
        <v>85</v>
      </c>
      <c r="C87" s="90" t="s">
        <v>43</v>
      </c>
      <c r="D87" s="90" t="s">
        <v>45</v>
      </c>
      <c r="E87" s="90" t="s">
        <v>46</v>
      </c>
      <c r="F87" s="90" t="s">
        <v>44</v>
      </c>
      <c r="G87" s="90" t="s">
        <v>48</v>
      </c>
      <c r="H87" s="90" t="s">
        <v>49</v>
      </c>
      <c r="I87" s="90" t="s">
        <v>47</v>
      </c>
      <c r="J87" s="90" t="s">
        <v>50</v>
      </c>
      <c r="K87" s="90" t="s">
        <v>224</v>
      </c>
      <c r="L87" s="90" t="s">
        <v>224</v>
      </c>
      <c r="M87" s="90" t="s">
        <v>224</v>
      </c>
      <c r="N87" s="90" t="s">
        <v>224</v>
      </c>
      <c r="O87" s="90" t="s">
        <v>224</v>
      </c>
      <c r="P87" s="90" t="s">
        <v>224</v>
      </c>
      <c r="Q87" s="90" t="s">
        <v>224</v>
      </c>
      <c r="R87" s="90" t="s">
        <v>224</v>
      </c>
      <c r="S87" s="90" t="s">
        <v>224</v>
      </c>
      <c r="T87" s="90" t="s">
        <v>224</v>
      </c>
      <c r="U87" s="90" t="s">
        <v>224</v>
      </c>
      <c r="V87" s="90" t="s">
        <v>224</v>
      </c>
      <c r="W87" s="128">
        <v>309202</v>
      </c>
    </row>
    <row r="88" spans="2:23" x14ac:dyDescent="0.15">
      <c r="B88" s="21">
        <v>86</v>
      </c>
      <c r="C88" s="90" t="s">
        <v>43</v>
      </c>
      <c r="D88" s="90" t="s">
        <v>45</v>
      </c>
      <c r="E88" s="90" t="s">
        <v>46</v>
      </c>
      <c r="F88" s="90" t="s">
        <v>44</v>
      </c>
      <c r="G88" s="90" t="s">
        <v>48</v>
      </c>
      <c r="H88" s="90" t="s">
        <v>49</v>
      </c>
      <c r="I88" s="90" t="s">
        <v>47</v>
      </c>
      <c r="J88" s="90" t="s">
        <v>50</v>
      </c>
      <c r="K88" s="90" t="s">
        <v>224</v>
      </c>
      <c r="L88" s="90" t="s">
        <v>224</v>
      </c>
      <c r="M88" s="90" t="s">
        <v>224</v>
      </c>
      <c r="N88" s="90" t="s">
        <v>224</v>
      </c>
      <c r="O88" s="90" t="s">
        <v>224</v>
      </c>
      <c r="P88" s="90" t="s">
        <v>224</v>
      </c>
      <c r="Q88" s="90" t="s">
        <v>224</v>
      </c>
      <c r="R88" s="90" t="s">
        <v>224</v>
      </c>
      <c r="S88" s="90" t="s">
        <v>224</v>
      </c>
      <c r="T88" s="90" t="s">
        <v>224</v>
      </c>
      <c r="U88" s="90" t="s">
        <v>224</v>
      </c>
      <c r="V88" s="90" t="s">
        <v>224</v>
      </c>
      <c r="W88" s="128">
        <v>309202</v>
      </c>
    </row>
    <row r="89" spans="2:23" x14ac:dyDescent="0.15">
      <c r="B89" s="21">
        <v>87</v>
      </c>
      <c r="C89" s="90" t="s">
        <v>43</v>
      </c>
      <c r="D89" s="90" t="s">
        <v>45</v>
      </c>
      <c r="E89" s="90" t="s">
        <v>46</v>
      </c>
      <c r="F89" s="90" t="s">
        <v>44</v>
      </c>
      <c r="G89" s="90" t="s">
        <v>48</v>
      </c>
      <c r="H89" s="90" t="s">
        <v>49</v>
      </c>
      <c r="I89" s="90" t="s">
        <v>47</v>
      </c>
      <c r="J89" s="90" t="s">
        <v>50</v>
      </c>
      <c r="K89" s="90" t="s">
        <v>224</v>
      </c>
      <c r="L89" s="90" t="s">
        <v>224</v>
      </c>
      <c r="M89" s="90" t="s">
        <v>224</v>
      </c>
      <c r="N89" s="90" t="s">
        <v>224</v>
      </c>
      <c r="O89" s="90" t="s">
        <v>224</v>
      </c>
      <c r="P89" s="90" t="s">
        <v>224</v>
      </c>
      <c r="Q89" s="90" t="s">
        <v>224</v>
      </c>
      <c r="R89" s="90" t="s">
        <v>224</v>
      </c>
      <c r="S89" s="90" t="s">
        <v>224</v>
      </c>
      <c r="T89" s="90" t="s">
        <v>224</v>
      </c>
      <c r="U89" s="90" t="s">
        <v>224</v>
      </c>
      <c r="V89" s="90" t="s">
        <v>224</v>
      </c>
      <c r="W89" s="128">
        <v>309202</v>
      </c>
    </row>
    <row r="90" spans="2:23" x14ac:dyDescent="0.15">
      <c r="B90" s="21">
        <v>88</v>
      </c>
      <c r="C90" s="90" t="s">
        <v>43</v>
      </c>
      <c r="D90" s="90" t="s">
        <v>45</v>
      </c>
      <c r="E90" s="90" t="s">
        <v>46</v>
      </c>
      <c r="F90" s="90" t="s">
        <v>44</v>
      </c>
      <c r="G90" s="90" t="s">
        <v>48</v>
      </c>
      <c r="H90" s="90" t="s">
        <v>49</v>
      </c>
      <c r="I90" s="90" t="s">
        <v>47</v>
      </c>
      <c r="J90" s="90" t="s">
        <v>50</v>
      </c>
      <c r="K90" s="90" t="s">
        <v>224</v>
      </c>
      <c r="L90" s="90" t="s">
        <v>224</v>
      </c>
      <c r="M90" s="90" t="s">
        <v>224</v>
      </c>
      <c r="N90" s="90" t="s">
        <v>224</v>
      </c>
      <c r="O90" s="90" t="s">
        <v>224</v>
      </c>
      <c r="P90" s="90" t="s">
        <v>224</v>
      </c>
      <c r="Q90" s="90" t="s">
        <v>224</v>
      </c>
      <c r="R90" s="90" t="s">
        <v>224</v>
      </c>
      <c r="S90" s="90" t="s">
        <v>224</v>
      </c>
      <c r="T90" s="90" t="s">
        <v>224</v>
      </c>
      <c r="U90" s="90" t="s">
        <v>224</v>
      </c>
      <c r="V90" s="90" t="s">
        <v>224</v>
      </c>
      <c r="W90" s="128">
        <v>309202</v>
      </c>
    </row>
    <row r="91" spans="2:23" x14ac:dyDescent="0.15">
      <c r="B91" s="21">
        <v>89</v>
      </c>
      <c r="C91" s="90" t="s">
        <v>43</v>
      </c>
      <c r="D91" s="90" t="s">
        <v>45</v>
      </c>
      <c r="E91" s="90" t="s">
        <v>46</v>
      </c>
      <c r="F91" s="90" t="s">
        <v>44</v>
      </c>
      <c r="G91" s="90" t="s">
        <v>48</v>
      </c>
      <c r="H91" s="90" t="s">
        <v>49</v>
      </c>
      <c r="I91" s="90" t="s">
        <v>47</v>
      </c>
      <c r="J91" s="90" t="s">
        <v>50</v>
      </c>
      <c r="K91" s="90" t="s">
        <v>224</v>
      </c>
      <c r="L91" s="90" t="s">
        <v>224</v>
      </c>
      <c r="M91" s="90" t="s">
        <v>224</v>
      </c>
      <c r="N91" s="90" t="s">
        <v>224</v>
      </c>
      <c r="O91" s="90" t="s">
        <v>224</v>
      </c>
      <c r="P91" s="90" t="s">
        <v>224</v>
      </c>
      <c r="Q91" s="90" t="s">
        <v>224</v>
      </c>
      <c r="R91" s="90" t="s">
        <v>224</v>
      </c>
      <c r="S91" s="90" t="s">
        <v>224</v>
      </c>
      <c r="T91" s="90" t="s">
        <v>224</v>
      </c>
      <c r="U91" s="90" t="s">
        <v>224</v>
      </c>
      <c r="V91" s="90" t="s">
        <v>224</v>
      </c>
      <c r="W91" s="128">
        <v>309202</v>
      </c>
    </row>
    <row r="92" spans="2:23" x14ac:dyDescent="0.15">
      <c r="B92" s="21">
        <v>90</v>
      </c>
      <c r="C92" s="90" t="s">
        <v>43</v>
      </c>
      <c r="D92" s="90" t="s">
        <v>45</v>
      </c>
      <c r="E92" s="90" t="s">
        <v>46</v>
      </c>
      <c r="F92" s="90" t="s">
        <v>44</v>
      </c>
      <c r="G92" s="90" t="s">
        <v>48</v>
      </c>
      <c r="H92" s="90" t="s">
        <v>49</v>
      </c>
      <c r="I92" s="90" t="s">
        <v>47</v>
      </c>
      <c r="J92" s="90" t="s">
        <v>50</v>
      </c>
      <c r="K92" s="90" t="s">
        <v>224</v>
      </c>
      <c r="L92" s="90" t="s">
        <v>224</v>
      </c>
      <c r="M92" s="90" t="s">
        <v>224</v>
      </c>
      <c r="N92" s="90" t="s">
        <v>224</v>
      </c>
      <c r="O92" s="90" t="s">
        <v>224</v>
      </c>
      <c r="P92" s="90" t="s">
        <v>224</v>
      </c>
      <c r="Q92" s="90" t="s">
        <v>224</v>
      </c>
      <c r="R92" s="90" t="s">
        <v>224</v>
      </c>
      <c r="S92" s="90" t="s">
        <v>224</v>
      </c>
      <c r="T92" s="90" t="s">
        <v>224</v>
      </c>
      <c r="U92" s="90" t="s">
        <v>224</v>
      </c>
      <c r="V92" s="90" t="s">
        <v>224</v>
      </c>
      <c r="W92" s="128">
        <v>309202</v>
      </c>
    </row>
    <row r="93" spans="2:23" x14ac:dyDescent="0.15">
      <c r="B93" s="21">
        <v>91</v>
      </c>
      <c r="C93" s="90" t="s">
        <v>43</v>
      </c>
      <c r="D93" s="90" t="s">
        <v>45</v>
      </c>
      <c r="E93" s="90" t="s">
        <v>46</v>
      </c>
      <c r="F93" s="90" t="s">
        <v>44</v>
      </c>
      <c r="G93" s="90" t="s">
        <v>48</v>
      </c>
      <c r="H93" s="90" t="s">
        <v>49</v>
      </c>
      <c r="I93" s="90" t="s">
        <v>47</v>
      </c>
      <c r="J93" s="90" t="s">
        <v>50</v>
      </c>
      <c r="K93" s="90" t="s">
        <v>224</v>
      </c>
      <c r="L93" s="90" t="s">
        <v>224</v>
      </c>
      <c r="M93" s="90" t="s">
        <v>224</v>
      </c>
      <c r="N93" s="90" t="s">
        <v>224</v>
      </c>
      <c r="O93" s="90" t="s">
        <v>224</v>
      </c>
      <c r="P93" s="90" t="s">
        <v>224</v>
      </c>
      <c r="Q93" s="90" t="s">
        <v>224</v>
      </c>
      <c r="R93" s="90" t="s">
        <v>224</v>
      </c>
      <c r="S93" s="90" t="s">
        <v>224</v>
      </c>
      <c r="T93" s="90" t="s">
        <v>224</v>
      </c>
      <c r="U93" s="90" t="s">
        <v>224</v>
      </c>
      <c r="V93" s="90" t="s">
        <v>224</v>
      </c>
      <c r="W93" s="128">
        <v>309202</v>
      </c>
    </row>
    <row r="94" spans="2:23" x14ac:dyDescent="0.15">
      <c r="B94" s="21">
        <v>92</v>
      </c>
      <c r="C94" s="90" t="s">
        <v>43</v>
      </c>
      <c r="D94" s="90" t="s">
        <v>45</v>
      </c>
      <c r="E94" s="90" t="s">
        <v>46</v>
      </c>
      <c r="F94" s="90" t="s">
        <v>44</v>
      </c>
      <c r="G94" s="90" t="s">
        <v>48</v>
      </c>
      <c r="H94" s="90" t="s">
        <v>49</v>
      </c>
      <c r="I94" s="90" t="s">
        <v>47</v>
      </c>
      <c r="J94" s="90" t="s">
        <v>50</v>
      </c>
      <c r="K94" s="90" t="s">
        <v>224</v>
      </c>
      <c r="L94" s="90" t="s">
        <v>224</v>
      </c>
      <c r="M94" s="90" t="s">
        <v>224</v>
      </c>
      <c r="N94" s="90" t="s">
        <v>224</v>
      </c>
      <c r="O94" s="90" t="s">
        <v>224</v>
      </c>
      <c r="P94" s="90" t="s">
        <v>224</v>
      </c>
      <c r="Q94" s="90" t="s">
        <v>224</v>
      </c>
      <c r="R94" s="90" t="s">
        <v>224</v>
      </c>
      <c r="S94" s="90" t="s">
        <v>224</v>
      </c>
      <c r="T94" s="90" t="s">
        <v>224</v>
      </c>
      <c r="U94" s="90" t="s">
        <v>224</v>
      </c>
      <c r="V94" s="90" t="s">
        <v>224</v>
      </c>
      <c r="W94" s="128">
        <v>309202</v>
      </c>
    </row>
    <row r="95" spans="2:23" x14ac:dyDescent="0.15">
      <c r="B95" s="21">
        <v>93</v>
      </c>
      <c r="C95" s="90" t="s">
        <v>43</v>
      </c>
      <c r="D95" s="90" t="s">
        <v>45</v>
      </c>
      <c r="E95" s="90" t="s">
        <v>46</v>
      </c>
      <c r="F95" s="90" t="s">
        <v>44</v>
      </c>
      <c r="G95" s="90" t="s">
        <v>48</v>
      </c>
      <c r="H95" s="90" t="s">
        <v>49</v>
      </c>
      <c r="I95" s="90" t="s">
        <v>47</v>
      </c>
      <c r="J95" s="90" t="s">
        <v>50</v>
      </c>
      <c r="K95" s="90" t="s">
        <v>224</v>
      </c>
      <c r="L95" s="90" t="s">
        <v>224</v>
      </c>
      <c r="M95" s="90" t="s">
        <v>224</v>
      </c>
      <c r="N95" s="90" t="s">
        <v>224</v>
      </c>
      <c r="O95" s="90" t="s">
        <v>224</v>
      </c>
      <c r="P95" s="90" t="s">
        <v>224</v>
      </c>
      <c r="Q95" s="90" t="s">
        <v>224</v>
      </c>
      <c r="R95" s="90" t="s">
        <v>224</v>
      </c>
      <c r="S95" s="90" t="s">
        <v>224</v>
      </c>
      <c r="T95" s="90" t="s">
        <v>224</v>
      </c>
      <c r="U95" s="90" t="s">
        <v>224</v>
      </c>
      <c r="V95" s="90" t="s">
        <v>224</v>
      </c>
      <c r="W95" s="128">
        <v>309202</v>
      </c>
    </row>
    <row r="96" spans="2:23" x14ac:dyDescent="0.15">
      <c r="B96" s="21">
        <v>94</v>
      </c>
      <c r="C96" s="90" t="s">
        <v>43</v>
      </c>
      <c r="D96" s="90" t="s">
        <v>45</v>
      </c>
      <c r="E96" s="90" t="s">
        <v>46</v>
      </c>
      <c r="F96" s="90" t="s">
        <v>44</v>
      </c>
      <c r="G96" s="90" t="s">
        <v>48</v>
      </c>
      <c r="H96" s="90" t="s">
        <v>49</v>
      </c>
      <c r="I96" s="90" t="s">
        <v>47</v>
      </c>
      <c r="J96" s="90" t="s">
        <v>50</v>
      </c>
      <c r="K96" s="90" t="s">
        <v>224</v>
      </c>
      <c r="L96" s="90" t="s">
        <v>224</v>
      </c>
      <c r="M96" s="90" t="s">
        <v>224</v>
      </c>
      <c r="N96" s="90" t="s">
        <v>224</v>
      </c>
      <c r="O96" s="90" t="s">
        <v>224</v>
      </c>
      <c r="P96" s="90" t="s">
        <v>224</v>
      </c>
      <c r="Q96" s="90" t="s">
        <v>224</v>
      </c>
      <c r="R96" s="90" t="s">
        <v>224</v>
      </c>
      <c r="S96" s="90" t="s">
        <v>224</v>
      </c>
      <c r="T96" s="90" t="s">
        <v>224</v>
      </c>
      <c r="U96" s="90" t="s">
        <v>224</v>
      </c>
      <c r="V96" s="90" t="s">
        <v>224</v>
      </c>
      <c r="W96" s="128">
        <v>309202</v>
      </c>
    </row>
    <row r="97" spans="2:23" x14ac:dyDescent="0.15">
      <c r="B97" s="21">
        <v>95</v>
      </c>
      <c r="C97" s="90" t="s">
        <v>43</v>
      </c>
      <c r="D97" s="90" t="s">
        <v>45</v>
      </c>
      <c r="E97" s="90" t="s">
        <v>46</v>
      </c>
      <c r="F97" s="90" t="s">
        <v>44</v>
      </c>
      <c r="G97" s="90" t="s">
        <v>48</v>
      </c>
      <c r="H97" s="90" t="s">
        <v>49</v>
      </c>
      <c r="I97" s="90" t="s">
        <v>47</v>
      </c>
      <c r="J97" s="90" t="s">
        <v>50</v>
      </c>
      <c r="K97" s="90" t="s">
        <v>224</v>
      </c>
      <c r="L97" s="90" t="s">
        <v>224</v>
      </c>
      <c r="M97" s="90" t="s">
        <v>224</v>
      </c>
      <c r="N97" s="90" t="s">
        <v>224</v>
      </c>
      <c r="O97" s="90" t="s">
        <v>224</v>
      </c>
      <c r="P97" s="90" t="s">
        <v>224</v>
      </c>
      <c r="Q97" s="90" t="s">
        <v>224</v>
      </c>
      <c r="R97" s="90" t="s">
        <v>224</v>
      </c>
      <c r="S97" s="90" t="s">
        <v>224</v>
      </c>
      <c r="T97" s="90" t="s">
        <v>224</v>
      </c>
      <c r="U97" s="90" t="s">
        <v>224</v>
      </c>
      <c r="V97" s="90" t="s">
        <v>224</v>
      </c>
      <c r="W97" s="128">
        <v>309202</v>
      </c>
    </row>
    <row r="98" spans="2:23" x14ac:dyDescent="0.15">
      <c r="B98" s="21">
        <v>96</v>
      </c>
      <c r="C98" s="90" t="s">
        <v>43</v>
      </c>
      <c r="D98" s="90" t="s">
        <v>45</v>
      </c>
      <c r="E98" s="90" t="s">
        <v>46</v>
      </c>
      <c r="F98" s="90" t="s">
        <v>44</v>
      </c>
      <c r="G98" s="90" t="s">
        <v>48</v>
      </c>
      <c r="H98" s="90" t="s">
        <v>49</v>
      </c>
      <c r="I98" s="90" t="s">
        <v>47</v>
      </c>
      <c r="J98" s="90" t="s">
        <v>50</v>
      </c>
      <c r="K98" s="90" t="s">
        <v>224</v>
      </c>
      <c r="L98" s="90" t="s">
        <v>224</v>
      </c>
      <c r="M98" s="90" t="s">
        <v>224</v>
      </c>
      <c r="N98" s="90" t="s">
        <v>224</v>
      </c>
      <c r="O98" s="90" t="s">
        <v>224</v>
      </c>
      <c r="P98" s="90" t="s">
        <v>224</v>
      </c>
      <c r="Q98" s="90" t="s">
        <v>224</v>
      </c>
      <c r="R98" s="90" t="s">
        <v>224</v>
      </c>
      <c r="S98" s="90" t="s">
        <v>224</v>
      </c>
      <c r="T98" s="90" t="s">
        <v>224</v>
      </c>
      <c r="U98" s="90" t="s">
        <v>224</v>
      </c>
      <c r="V98" s="90" t="s">
        <v>224</v>
      </c>
      <c r="W98" s="128">
        <v>309202</v>
      </c>
    </row>
    <row r="99" spans="2:23" x14ac:dyDescent="0.15">
      <c r="B99" s="21">
        <v>97</v>
      </c>
      <c r="C99" s="90" t="s">
        <v>43</v>
      </c>
      <c r="D99" s="90" t="s">
        <v>45</v>
      </c>
      <c r="E99" s="90" t="s">
        <v>46</v>
      </c>
      <c r="F99" s="90" t="s">
        <v>44</v>
      </c>
      <c r="G99" s="90" t="s">
        <v>48</v>
      </c>
      <c r="H99" s="90" t="s">
        <v>49</v>
      </c>
      <c r="I99" s="90" t="s">
        <v>47</v>
      </c>
      <c r="J99" s="90" t="s">
        <v>50</v>
      </c>
      <c r="K99" s="90" t="s">
        <v>224</v>
      </c>
      <c r="L99" s="90" t="s">
        <v>224</v>
      </c>
      <c r="M99" s="90" t="s">
        <v>224</v>
      </c>
      <c r="N99" s="90" t="s">
        <v>224</v>
      </c>
      <c r="O99" s="90" t="s">
        <v>224</v>
      </c>
      <c r="P99" s="90" t="s">
        <v>224</v>
      </c>
      <c r="Q99" s="90" t="s">
        <v>224</v>
      </c>
      <c r="R99" s="90" t="s">
        <v>224</v>
      </c>
      <c r="S99" s="90" t="s">
        <v>224</v>
      </c>
      <c r="T99" s="90" t="s">
        <v>224</v>
      </c>
      <c r="U99" s="90" t="s">
        <v>224</v>
      </c>
      <c r="V99" s="90" t="s">
        <v>224</v>
      </c>
      <c r="W99" s="128">
        <v>309202</v>
      </c>
    </row>
    <row r="100" spans="2:23" x14ac:dyDescent="0.15">
      <c r="B100" s="21">
        <v>98</v>
      </c>
      <c r="C100" s="90" t="s">
        <v>43</v>
      </c>
      <c r="D100" s="90" t="s">
        <v>45</v>
      </c>
      <c r="E100" s="90" t="s">
        <v>46</v>
      </c>
      <c r="F100" s="90" t="s">
        <v>44</v>
      </c>
      <c r="G100" s="90" t="s">
        <v>48</v>
      </c>
      <c r="H100" s="90" t="s">
        <v>49</v>
      </c>
      <c r="I100" s="90" t="s">
        <v>47</v>
      </c>
      <c r="J100" s="90" t="s">
        <v>50</v>
      </c>
      <c r="K100" s="90" t="s">
        <v>224</v>
      </c>
      <c r="L100" s="90" t="s">
        <v>224</v>
      </c>
      <c r="M100" s="90" t="s">
        <v>224</v>
      </c>
      <c r="N100" s="90" t="s">
        <v>224</v>
      </c>
      <c r="O100" s="90" t="s">
        <v>224</v>
      </c>
      <c r="P100" s="90" t="s">
        <v>224</v>
      </c>
      <c r="Q100" s="90" t="s">
        <v>224</v>
      </c>
      <c r="R100" s="90" t="s">
        <v>224</v>
      </c>
      <c r="S100" s="90" t="s">
        <v>224</v>
      </c>
      <c r="T100" s="90" t="s">
        <v>224</v>
      </c>
      <c r="U100" s="90" t="s">
        <v>224</v>
      </c>
      <c r="V100" s="90" t="s">
        <v>224</v>
      </c>
      <c r="W100" s="128">
        <v>309202</v>
      </c>
    </row>
    <row r="101" spans="2:23" x14ac:dyDescent="0.15">
      <c r="B101" s="21">
        <v>99</v>
      </c>
      <c r="C101" s="90" t="s">
        <v>43</v>
      </c>
      <c r="D101" s="90" t="s">
        <v>45</v>
      </c>
      <c r="E101" s="90" t="s">
        <v>46</v>
      </c>
      <c r="F101" s="90" t="s">
        <v>44</v>
      </c>
      <c r="G101" s="90" t="s">
        <v>48</v>
      </c>
      <c r="H101" s="90" t="s">
        <v>49</v>
      </c>
      <c r="I101" s="90" t="s">
        <v>47</v>
      </c>
      <c r="J101" s="90" t="s">
        <v>50</v>
      </c>
      <c r="K101" s="90" t="s">
        <v>224</v>
      </c>
      <c r="L101" s="90" t="s">
        <v>224</v>
      </c>
      <c r="M101" s="90" t="s">
        <v>224</v>
      </c>
      <c r="N101" s="90" t="s">
        <v>224</v>
      </c>
      <c r="O101" s="90" t="s">
        <v>224</v>
      </c>
      <c r="P101" s="90" t="s">
        <v>224</v>
      </c>
      <c r="Q101" s="90" t="s">
        <v>224</v>
      </c>
      <c r="R101" s="90" t="s">
        <v>224</v>
      </c>
      <c r="S101" s="90" t="s">
        <v>224</v>
      </c>
      <c r="T101" s="90" t="s">
        <v>224</v>
      </c>
      <c r="U101" s="90" t="s">
        <v>224</v>
      </c>
      <c r="V101" s="90" t="s">
        <v>224</v>
      </c>
      <c r="W101" s="128">
        <v>309202</v>
      </c>
    </row>
    <row r="102" spans="2:23" x14ac:dyDescent="0.15">
      <c r="B102" s="21">
        <v>100</v>
      </c>
      <c r="C102" s="90" t="s">
        <v>43</v>
      </c>
      <c r="D102" s="90" t="s">
        <v>45</v>
      </c>
      <c r="E102" s="90" t="s">
        <v>46</v>
      </c>
      <c r="F102" s="90" t="s">
        <v>44</v>
      </c>
      <c r="G102" s="90" t="s">
        <v>48</v>
      </c>
      <c r="H102" s="90" t="s">
        <v>49</v>
      </c>
      <c r="I102" s="90" t="s">
        <v>47</v>
      </c>
      <c r="J102" s="90" t="s">
        <v>50</v>
      </c>
      <c r="K102" s="90" t="s">
        <v>224</v>
      </c>
      <c r="L102" s="90" t="s">
        <v>224</v>
      </c>
      <c r="M102" s="90" t="s">
        <v>224</v>
      </c>
      <c r="N102" s="90" t="s">
        <v>224</v>
      </c>
      <c r="O102" s="90" t="s">
        <v>224</v>
      </c>
      <c r="P102" s="90" t="s">
        <v>224</v>
      </c>
      <c r="Q102" s="90" t="s">
        <v>224</v>
      </c>
      <c r="R102" s="90" t="s">
        <v>224</v>
      </c>
      <c r="S102" s="90" t="s">
        <v>224</v>
      </c>
      <c r="T102" s="90" t="s">
        <v>224</v>
      </c>
      <c r="U102" s="90" t="s">
        <v>224</v>
      </c>
      <c r="V102" s="90" t="s">
        <v>224</v>
      </c>
      <c r="W102" s="128">
        <v>309202</v>
      </c>
    </row>
    <row r="103" spans="2:23" x14ac:dyDescent="0.15">
      <c r="B103" s="21"/>
    </row>
    <row r="104" spans="2:23" x14ac:dyDescent="0.15">
      <c r="B104" s="21"/>
    </row>
    <row r="105" spans="2:23" x14ac:dyDescent="0.15">
      <c r="B105" s="21"/>
    </row>
    <row r="106" spans="2:23" x14ac:dyDescent="0.15">
      <c r="B106" s="21"/>
    </row>
    <row r="107" spans="2:23" x14ac:dyDescent="0.15">
      <c r="B107" s="21"/>
    </row>
    <row r="108" spans="2:23" x14ac:dyDescent="0.15">
      <c r="B108" s="21"/>
    </row>
    <row r="109" spans="2:23" x14ac:dyDescent="0.15">
      <c r="B109" s="21"/>
    </row>
    <row r="110" spans="2:23" x14ac:dyDescent="0.15">
      <c r="B110" s="21"/>
    </row>
    <row r="111" spans="2:23" x14ac:dyDescent="0.15">
      <c r="B111" s="21"/>
    </row>
    <row r="112" spans="2:23" x14ac:dyDescent="0.15">
      <c r="B112" s="21"/>
    </row>
    <row r="113" spans="2:2" x14ac:dyDescent="0.15">
      <c r="B113" s="21"/>
    </row>
    <row r="114" spans="2:2" x14ac:dyDescent="0.15">
      <c r="B114" s="21"/>
    </row>
    <row r="115" spans="2:2" x14ac:dyDescent="0.15">
      <c r="B115" s="21"/>
    </row>
    <row r="116" spans="2:2" x14ac:dyDescent="0.15">
      <c r="B116" s="21"/>
    </row>
    <row r="117" spans="2:2" x14ac:dyDescent="0.15">
      <c r="B117" s="21"/>
    </row>
    <row r="118" spans="2:2" x14ac:dyDescent="0.15">
      <c r="B118" s="21"/>
    </row>
    <row r="119" spans="2:2" x14ac:dyDescent="0.15">
      <c r="B119" s="21"/>
    </row>
    <row r="120" spans="2:2" x14ac:dyDescent="0.15">
      <c r="B120" s="21"/>
    </row>
    <row r="121" spans="2:2" x14ac:dyDescent="0.15">
      <c r="B121" s="21"/>
    </row>
    <row r="122" spans="2:2" x14ac:dyDescent="0.15">
      <c r="B122" s="21"/>
    </row>
    <row r="123" spans="2:2" x14ac:dyDescent="0.15">
      <c r="B123" s="21"/>
    </row>
    <row r="124" spans="2:2" x14ac:dyDescent="0.15">
      <c r="B124" s="21"/>
    </row>
    <row r="125" spans="2:2" x14ac:dyDescent="0.15">
      <c r="B125" s="21"/>
    </row>
    <row r="126" spans="2:2" x14ac:dyDescent="0.15">
      <c r="B126" s="21"/>
    </row>
    <row r="127" spans="2:2" x14ac:dyDescent="0.15">
      <c r="B127" s="21"/>
    </row>
    <row r="128" spans="2:2" x14ac:dyDescent="0.15">
      <c r="B128" s="21"/>
    </row>
    <row r="129" spans="2:2" x14ac:dyDescent="0.15">
      <c r="B129" s="21"/>
    </row>
    <row r="130" spans="2:2" x14ac:dyDescent="0.15">
      <c r="B130" s="21"/>
    </row>
    <row r="131" spans="2:2" x14ac:dyDescent="0.15">
      <c r="B131" s="21"/>
    </row>
    <row r="132" spans="2:2" x14ac:dyDescent="0.15">
      <c r="B132" s="21"/>
    </row>
    <row r="133" spans="2:2" x14ac:dyDescent="0.15">
      <c r="B133" s="21"/>
    </row>
    <row r="134" spans="2:2" x14ac:dyDescent="0.15">
      <c r="B134" s="21"/>
    </row>
    <row r="135" spans="2:2" x14ac:dyDescent="0.15">
      <c r="B135" s="21"/>
    </row>
    <row r="136" spans="2:2" x14ac:dyDescent="0.15">
      <c r="B136" s="21"/>
    </row>
    <row r="137" spans="2:2" x14ac:dyDescent="0.15">
      <c r="B137" s="21"/>
    </row>
    <row r="138" spans="2:2" x14ac:dyDescent="0.15">
      <c r="B138" s="21"/>
    </row>
    <row r="139" spans="2:2" x14ac:dyDescent="0.15">
      <c r="B139" s="21"/>
    </row>
    <row r="140" spans="2:2" x14ac:dyDescent="0.15">
      <c r="B140" s="21"/>
    </row>
    <row r="141" spans="2:2" x14ac:dyDescent="0.15">
      <c r="B141" s="21"/>
    </row>
    <row r="142" spans="2:2" x14ac:dyDescent="0.15">
      <c r="B142" s="21"/>
    </row>
    <row r="143" spans="2:2" x14ac:dyDescent="0.15">
      <c r="B143" s="21"/>
    </row>
    <row r="144" spans="2:2" x14ac:dyDescent="0.15">
      <c r="B144" s="21"/>
    </row>
    <row r="145" spans="2:2" x14ac:dyDescent="0.15">
      <c r="B145" s="21"/>
    </row>
    <row r="146" spans="2:2" x14ac:dyDescent="0.15">
      <c r="B146" s="21"/>
    </row>
    <row r="147" spans="2:2" x14ac:dyDescent="0.15">
      <c r="B147" s="21"/>
    </row>
    <row r="148" spans="2:2" x14ac:dyDescent="0.15">
      <c r="B148" s="21"/>
    </row>
    <row r="149" spans="2:2" x14ac:dyDescent="0.15">
      <c r="B149" s="21"/>
    </row>
    <row r="150" spans="2:2" x14ac:dyDescent="0.15">
      <c r="B150" s="21"/>
    </row>
    <row r="151" spans="2:2" x14ac:dyDescent="0.15">
      <c r="B151" s="21"/>
    </row>
    <row r="152" spans="2:2" x14ac:dyDescent="0.15">
      <c r="B152" s="21"/>
    </row>
    <row r="153" spans="2:2" x14ac:dyDescent="0.15">
      <c r="B153" s="21"/>
    </row>
    <row r="154" spans="2:2" x14ac:dyDescent="0.15">
      <c r="B154" s="21"/>
    </row>
    <row r="155" spans="2:2" x14ac:dyDescent="0.15">
      <c r="B155" s="21"/>
    </row>
    <row r="156" spans="2:2" x14ac:dyDescent="0.15">
      <c r="B156" s="21"/>
    </row>
    <row r="157" spans="2:2" x14ac:dyDescent="0.15">
      <c r="B157" s="21"/>
    </row>
    <row r="158" spans="2:2" x14ac:dyDescent="0.15">
      <c r="B158" s="21"/>
    </row>
    <row r="159" spans="2:2" x14ac:dyDescent="0.15">
      <c r="B159" s="21"/>
    </row>
    <row r="160" spans="2:2" x14ac:dyDescent="0.15">
      <c r="B160" s="21"/>
    </row>
    <row r="161" spans="2:2" x14ac:dyDescent="0.15">
      <c r="B161" s="21"/>
    </row>
    <row r="162" spans="2:2" x14ac:dyDescent="0.15">
      <c r="B162" s="21"/>
    </row>
    <row r="163" spans="2:2" x14ac:dyDescent="0.15">
      <c r="B163" s="21"/>
    </row>
    <row r="164" spans="2:2" x14ac:dyDescent="0.15">
      <c r="B164" s="21"/>
    </row>
    <row r="165" spans="2:2" x14ac:dyDescent="0.15">
      <c r="B165" s="21"/>
    </row>
    <row r="166" spans="2:2" x14ac:dyDescent="0.15">
      <c r="B166" s="21"/>
    </row>
    <row r="167" spans="2:2" x14ac:dyDescent="0.15">
      <c r="B167" s="21"/>
    </row>
    <row r="168" spans="2:2" x14ac:dyDescent="0.15">
      <c r="B168" s="21"/>
    </row>
    <row r="169" spans="2:2" x14ac:dyDescent="0.15">
      <c r="B169" s="21"/>
    </row>
    <row r="170" spans="2:2" x14ac:dyDescent="0.15">
      <c r="B170" s="21"/>
    </row>
    <row r="171" spans="2:2" x14ac:dyDescent="0.15">
      <c r="B171" s="21"/>
    </row>
    <row r="172" spans="2:2" x14ac:dyDescent="0.15">
      <c r="B172" s="21"/>
    </row>
    <row r="173" spans="2:2" x14ac:dyDescent="0.15">
      <c r="B173" s="21"/>
    </row>
    <row r="174" spans="2:2" x14ac:dyDescent="0.15">
      <c r="B174" s="21"/>
    </row>
    <row r="175" spans="2:2" x14ac:dyDescent="0.15">
      <c r="B175" s="21"/>
    </row>
    <row r="176" spans="2:2" x14ac:dyDescent="0.15">
      <c r="B176" s="21"/>
    </row>
    <row r="177" spans="2:2" x14ac:dyDescent="0.15">
      <c r="B177" s="21"/>
    </row>
    <row r="178" spans="2:2" x14ac:dyDescent="0.15">
      <c r="B178" s="21"/>
    </row>
    <row r="179" spans="2:2" x14ac:dyDescent="0.15">
      <c r="B179" s="21"/>
    </row>
    <row r="180" spans="2:2" x14ac:dyDescent="0.15">
      <c r="B180" s="21"/>
    </row>
    <row r="181" spans="2:2" x14ac:dyDescent="0.15">
      <c r="B181" s="21"/>
    </row>
    <row r="182" spans="2:2" x14ac:dyDescent="0.15">
      <c r="B182" s="21"/>
    </row>
    <row r="183" spans="2:2" x14ac:dyDescent="0.15">
      <c r="B183" s="21"/>
    </row>
    <row r="184" spans="2:2" x14ac:dyDescent="0.15">
      <c r="B184" s="21"/>
    </row>
    <row r="185" spans="2:2" x14ac:dyDescent="0.15">
      <c r="B185" s="21"/>
    </row>
    <row r="186" spans="2:2" x14ac:dyDescent="0.15">
      <c r="B186" s="21"/>
    </row>
    <row r="187" spans="2:2" x14ac:dyDescent="0.15">
      <c r="B187" s="21"/>
    </row>
    <row r="188" spans="2:2" x14ac:dyDescent="0.15">
      <c r="B188" s="21"/>
    </row>
    <row r="189" spans="2:2" x14ac:dyDescent="0.15">
      <c r="B189" s="21"/>
    </row>
    <row r="190" spans="2:2" x14ac:dyDescent="0.15">
      <c r="B190" s="21"/>
    </row>
    <row r="191" spans="2:2" x14ac:dyDescent="0.15">
      <c r="B191" s="21"/>
    </row>
    <row r="192" spans="2:2" x14ac:dyDescent="0.15">
      <c r="B192" s="21"/>
    </row>
    <row r="193" spans="2:2" x14ac:dyDescent="0.15">
      <c r="B193" s="21"/>
    </row>
    <row r="194" spans="2:2" x14ac:dyDescent="0.15">
      <c r="B194" s="21"/>
    </row>
    <row r="195" spans="2:2" x14ac:dyDescent="0.15">
      <c r="B195" s="21"/>
    </row>
    <row r="196" spans="2:2" x14ac:dyDescent="0.15">
      <c r="B196" s="21"/>
    </row>
    <row r="197" spans="2:2" x14ac:dyDescent="0.15">
      <c r="B197" s="21"/>
    </row>
    <row r="198" spans="2:2" x14ac:dyDescent="0.15">
      <c r="B198" s="21"/>
    </row>
    <row r="199" spans="2:2" x14ac:dyDescent="0.15">
      <c r="B199" s="21"/>
    </row>
    <row r="200" spans="2:2" x14ac:dyDescent="0.15">
      <c r="B200" s="21"/>
    </row>
    <row r="201" spans="2:2" x14ac:dyDescent="0.15">
      <c r="B201" s="21"/>
    </row>
    <row r="202" spans="2:2" x14ac:dyDescent="0.15">
      <c r="B202" s="21"/>
    </row>
    <row r="203" spans="2:2" x14ac:dyDescent="0.15">
      <c r="B203" s="21"/>
    </row>
    <row r="204" spans="2:2" x14ac:dyDescent="0.15">
      <c r="B204" s="21"/>
    </row>
    <row r="205" spans="2:2" x14ac:dyDescent="0.15">
      <c r="B205" s="21"/>
    </row>
    <row r="206" spans="2:2" x14ac:dyDescent="0.15">
      <c r="B206" s="21"/>
    </row>
    <row r="207" spans="2:2" x14ac:dyDescent="0.15">
      <c r="B207" s="21"/>
    </row>
    <row r="208" spans="2:2" x14ac:dyDescent="0.15">
      <c r="B208" s="21"/>
    </row>
    <row r="209" spans="2:2" x14ac:dyDescent="0.15">
      <c r="B209" s="21"/>
    </row>
    <row r="210" spans="2:2" x14ac:dyDescent="0.15">
      <c r="B210" s="21"/>
    </row>
    <row r="211" spans="2:2" x14ac:dyDescent="0.15">
      <c r="B211" s="21"/>
    </row>
    <row r="212" spans="2:2" x14ac:dyDescent="0.15">
      <c r="B212" s="21"/>
    </row>
    <row r="213" spans="2:2" x14ac:dyDescent="0.15">
      <c r="B213" s="21"/>
    </row>
    <row r="214" spans="2:2" x14ac:dyDescent="0.15">
      <c r="B214" s="21"/>
    </row>
    <row r="215" spans="2:2" x14ac:dyDescent="0.15">
      <c r="B215" s="21"/>
    </row>
    <row r="216" spans="2:2" x14ac:dyDescent="0.15">
      <c r="B216" s="21"/>
    </row>
    <row r="217" spans="2:2" x14ac:dyDescent="0.15">
      <c r="B217" s="21"/>
    </row>
    <row r="218" spans="2:2" x14ac:dyDescent="0.15">
      <c r="B218" s="21"/>
    </row>
    <row r="219" spans="2:2" x14ac:dyDescent="0.15">
      <c r="B219" s="21"/>
    </row>
    <row r="220" spans="2:2" x14ac:dyDescent="0.15">
      <c r="B220" s="21"/>
    </row>
    <row r="221" spans="2:2" x14ac:dyDescent="0.15">
      <c r="B221" s="21"/>
    </row>
    <row r="222" spans="2:2" x14ac:dyDescent="0.15">
      <c r="B222" s="21"/>
    </row>
    <row r="223" spans="2:2" x14ac:dyDescent="0.15">
      <c r="B223" s="21"/>
    </row>
    <row r="224" spans="2:2" x14ac:dyDescent="0.15">
      <c r="B224" s="21"/>
    </row>
    <row r="225" spans="2:2" x14ac:dyDescent="0.15">
      <c r="B225" s="21"/>
    </row>
    <row r="226" spans="2:2" x14ac:dyDescent="0.15">
      <c r="B226" s="21"/>
    </row>
    <row r="227" spans="2:2" x14ac:dyDescent="0.15">
      <c r="B227" s="21"/>
    </row>
    <row r="228" spans="2:2" x14ac:dyDescent="0.15">
      <c r="B228" s="21"/>
    </row>
  </sheetData>
  <mergeCells count="1">
    <mergeCell ref="A1:D1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0" tint="-0.34998626667073579"/>
  </sheetPr>
  <dimension ref="B2:T37"/>
  <sheetViews>
    <sheetView showGridLines="0" showRowColHeaders="0" zoomScale="70" zoomScaleNormal="70" workbookViewId="0">
      <selection activeCell="B2" sqref="B2:T2"/>
    </sheetView>
  </sheetViews>
  <sheetFormatPr baseColWidth="10" defaultRowHeight="15" x14ac:dyDescent="0.25"/>
  <cols>
    <col min="1" max="1" width="14.5703125" customWidth="1"/>
  </cols>
  <sheetData>
    <row r="2" spans="2:20" x14ac:dyDescent="0.25">
      <c r="B2" s="172" t="s">
        <v>28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</row>
    <row r="4" spans="2:20" x14ac:dyDescent="0.25">
      <c r="B4" s="163"/>
      <c r="C4" s="164"/>
      <c r="D4" s="165"/>
      <c r="F4" s="163"/>
      <c r="G4" s="164"/>
      <c r="H4" s="165"/>
      <c r="J4" s="163"/>
      <c r="K4" s="164"/>
      <c r="L4" s="165"/>
      <c r="N4" s="163"/>
      <c r="O4" s="164"/>
      <c r="P4" s="165"/>
      <c r="R4" s="163"/>
      <c r="S4" s="164"/>
      <c r="T4" s="165"/>
    </row>
    <row r="5" spans="2:20" x14ac:dyDescent="0.25">
      <c r="B5" s="166"/>
      <c r="C5" s="167"/>
      <c r="D5" s="168"/>
      <c r="F5" s="166"/>
      <c r="G5" s="167"/>
      <c r="H5" s="168"/>
      <c r="J5" s="166"/>
      <c r="K5" s="167"/>
      <c r="L5" s="168"/>
      <c r="N5" s="166"/>
      <c r="O5" s="167"/>
      <c r="P5" s="168"/>
      <c r="R5" s="166"/>
      <c r="S5" s="167"/>
      <c r="T5" s="168"/>
    </row>
    <row r="6" spans="2:20" x14ac:dyDescent="0.25">
      <c r="B6" s="166"/>
      <c r="C6" s="167"/>
      <c r="D6" s="168"/>
      <c r="F6" s="166"/>
      <c r="G6" s="167"/>
      <c r="H6" s="168"/>
      <c r="J6" s="166"/>
      <c r="K6" s="167"/>
      <c r="L6" s="168"/>
      <c r="N6" s="166"/>
      <c r="O6" s="167"/>
      <c r="P6" s="168"/>
      <c r="R6" s="166"/>
      <c r="S6" s="167"/>
      <c r="T6" s="168"/>
    </row>
    <row r="7" spans="2:20" x14ac:dyDescent="0.25">
      <c r="B7" s="166"/>
      <c r="C7" s="167"/>
      <c r="D7" s="168"/>
      <c r="F7" s="166"/>
      <c r="G7" s="167"/>
      <c r="H7" s="168"/>
      <c r="J7" s="166"/>
      <c r="K7" s="167"/>
      <c r="L7" s="168"/>
      <c r="N7" s="166"/>
      <c r="O7" s="167"/>
      <c r="P7" s="168"/>
      <c r="R7" s="166"/>
      <c r="S7" s="167"/>
      <c r="T7" s="168"/>
    </row>
    <row r="8" spans="2:20" x14ac:dyDescent="0.25">
      <c r="B8" s="166"/>
      <c r="C8" s="167"/>
      <c r="D8" s="168"/>
      <c r="F8" s="166"/>
      <c r="G8" s="167"/>
      <c r="H8" s="168"/>
      <c r="J8" s="166"/>
      <c r="K8" s="167"/>
      <c r="L8" s="168"/>
      <c r="N8" s="166"/>
      <c r="O8" s="167"/>
      <c r="P8" s="168"/>
      <c r="R8" s="166"/>
      <c r="S8" s="167"/>
      <c r="T8" s="168"/>
    </row>
    <row r="9" spans="2:20" x14ac:dyDescent="0.25">
      <c r="B9" s="166"/>
      <c r="C9" s="167"/>
      <c r="D9" s="168"/>
      <c r="F9" s="166"/>
      <c r="G9" s="167"/>
      <c r="H9" s="168"/>
      <c r="J9" s="166"/>
      <c r="K9" s="167"/>
      <c r="L9" s="168"/>
      <c r="N9" s="166"/>
      <c r="O9" s="167"/>
      <c r="P9" s="168"/>
      <c r="R9" s="166"/>
      <c r="S9" s="167"/>
      <c r="T9" s="168"/>
    </row>
    <row r="10" spans="2:20" x14ac:dyDescent="0.25">
      <c r="B10" s="166"/>
      <c r="C10" s="167"/>
      <c r="D10" s="168"/>
      <c r="F10" s="166"/>
      <c r="G10" s="167"/>
      <c r="H10" s="168"/>
      <c r="J10" s="166"/>
      <c r="K10" s="167"/>
      <c r="L10" s="168"/>
      <c r="N10" s="166"/>
      <c r="O10" s="167"/>
      <c r="P10" s="168"/>
      <c r="R10" s="166"/>
      <c r="S10" s="167"/>
      <c r="T10" s="168"/>
    </row>
    <row r="11" spans="2:20" x14ac:dyDescent="0.25">
      <c r="B11" s="166"/>
      <c r="C11" s="167"/>
      <c r="D11" s="168"/>
      <c r="F11" s="166"/>
      <c r="G11" s="167"/>
      <c r="H11" s="168"/>
      <c r="J11" s="166"/>
      <c r="K11" s="167"/>
      <c r="L11" s="168"/>
      <c r="N11" s="166"/>
      <c r="O11" s="167"/>
      <c r="P11" s="168"/>
      <c r="R11" s="166"/>
      <c r="S11" s="167"/>
      <c r="T11" s="168"/>
    </row>
    <row r="12" spans="2:20" x14ac:dyDescent="0.25">
      <c r="B12" s="169"/>
      <c r="C12" s="170"/>
      <c r="D12" s="171"/>
      <c r="F12" s="169"/>
      <c r="G12" s="170"/>
      <c r="H12" s="171"/>
      <c r="J12" s="169"/>
      <c r="K12" s="170"/>
      <c r="L12" s="171"/>
      <c r="N12" s="169"/>
      <c r="O12" s="170"/>
      <c r="P12" s="171"/>
      <c r="R12" s="169"/>
      <c r="S12" s="170"/>
      <c r="T12" s="171"/>
    </row>
    <row r="13" spans="2:20" s="9" customFormat="1" x14ac:dyDescent="0.25">
      <c r="B13" s="160" t="s">
        <v>3</v>
      </c>
      <c r="C13" s="161"/>
      <c r="D13" s="162"/>
      <c r="F13" s="160" t="s">
        <v>15</v>
      </c>
      <c r="G13" s="161"/>
      <c r="H13" s="162"/>
      <c r="J13" s="160" t="s">
        <v>2</v>
      </c>
      <c r="K13" s="161"/>
      <c r="L13" s="162"/>
      <c r="N13" s="160" t="s">
        <v>6</v>
      </c>
      <c r="O13" s="161"/>
      <c r="P13" s="162"/>
      <c r="R13" s="160" t="s">
        <v>12</v>
      </c>
      <c r="S13" s="161"/>
      <c r="T13" s="162"/>
    </row>
    <row r="16" spans="2:20" x14ac:dyDescent="0.25">
      <c r="B16" s="163"/>
      <c r="C16" s="164"/>
      <c r="D16" s="165"/>
      <c r="F16" s="163"/>
      <c r="G16" s="164"/>
      <c r="H16" s="165"/>
      <c r="J16" s="163"/>
      <c r="K16" s="164"/>
      <c r="L16" s="165"/>
      <c r="N16" s="163"/>
      <c r="O16" s="164"/>
      <c r="P16" s="165"/>
      <c r="R16" s="163"/>
      <c r="S16" s="164"/>
      <c r="T16" s="165"/>
    </row>
    <row r="17" spans="2:20" x14ac:dyDescent="0.25">
      <c r="B17" s="166"/>
      <c r="C17" s="167"/>
      <c r="D17" s="168"/>
      <c r="F17" s="166"/>
      <c r="G17" s="167"/>
      <c r="H17" s="168"/>
      <c r="J17" s="166"/>
      <c r="K17" s="167"/>
      <c r="L17" s="168"/>
      <c r="N17" s="166"/>
      <c r="O17" s="167"/>
      <c r="P17" s="168"/>
      <c r="R17" s="166"/>
      <c r="S17" s="167"/>
      <c r="T17" s="168"/>
    </row>
    <row r="18" spans="2:20" x14ac:dyDescent="0.25">
      <c r="B18" s="166"/>
      <c r="C18" s="167"/>
      <c r="D18" s="168"/>
      <c r="F18" s="166"/>
      <c r="G18" s="167"/>
      <c r="H18" s="168"/>
      <c r="J18" s="166"/>
      <c r="K18" s="167"/>
      <c r="L18" s="168"/>
      <c r="N18" s="166"/>
      <c r="O18" s="167"/>
      <c r="P18" s="168"/>
      <c r="R18" s="166"/>
      <c r="S18" s="167"/>
      <c r="T18" s="168"/>
    </row>
    <row r="19" spans="2:20" x14ac:dyDescent="0.25">
      <c r="B19" s="166"/>
      <c r="C19" s="167"/>
      <c r="D19" s="168"/>
      <c r="F19" s="166"/>
      <c r="G19" s="167"/>
      <c r="H19" s="168"/>
      <c r="J19" s="166"/>
      <c r="K19" s="167"/>
      <c r="L19" s="168"/>
      <c r="N19" s="166"/>
      <c r="O19" s="167"/>
      <c r="P19" s="168"/>
      <c r="R19" s="166"/>
      <c r="S19" s="167"/>
      <c r="T19" s="168"/>
    </row>
    <row r="20" spans="2:20" x14ac:dyDescent="0.25">
      <c r="B20" s="166"/>
      <c r="C20" s="167"/>
      <c r="D20" s="168"/>
      <c r="F20" s="166"/>
      <c r="G20" s="167"/>
      <c r="H20" s="168"/>
      <c r="J20" s="166"/>
      <c r="K20" s="167"/>
      <c r="L20" s="168"/>
      <c r="N20" s="166"/>
      <c r="O20" s="167"/>
      <c r="P20" s="168"/>
      <c r="R20" s="166"/>
      <c r="S20" s="167"/>
      <c r="T20" s="168"/>
    </row>
    <row r="21" spans="2:20" x14ac:dyDescent="0.25">
      <c r="B21" s="166"/>
      <c r="C21" s="167"/>
      <c r="D21" s="168"/>
      <c r="F21" s="166"/>
      <c r="G21" s="167"/>
      <c r="H21" s="168"/>
      <c r="J21" s="166"/>
      <c r="K21" s="167"/>
      <c r="L21" s="168"/>
      <c r="N21" s="166"/>
      <c r="O21" s="167"/>
      <c r="P21" s="168"/>
      <c r="R21" s="166"/>
      <c r="S21" s="167"/>
      <c r="T21" s="168"/>
    </row>
    <row r="22" spans="2:20" x14ac:dyDescent="0.25">
      <c r="B22" s="166"/>
      <c r="C22" s="167"/>
      <c r="D22" s="168"/>
      <c r="F22" s="166"/>
      <c r="G22" s="167"/>
      <c r="H22" s="168"/>
      <c r="J22" s="166"/>
      <c r="K22" s="167"/>
      <c r="L22" s="168"/>
      <c r="N22" s="166"/>
      <c r="O22" s="167"/>
      <c r="P22" s="168"/>
      <c r="R22" s="166"/>
      <c r="S22" s="167"/>
      <c r="T22" s="168"/>
    </row>
    <row r="23" spans="2:20" x14ac:dyDescent="0.25">
      <c r="B23" s="166"/>
      <c r="C23" s="167"/>
      <c r="D23" s="168"/>
      <c r="F23" s="166"/>
      <c r="G23" s="167"/>
      <c r="H23" s="168"/>
      <c r="J23" s="166"/>
      <c r="K23" s="167"/>
      <c r="L23" s="168"/>
      <c r="N23" s="166"/>
      <c r="O23" s="167"/>
      <c r="P23" s="168"/>
      <c r="R23" s="166"/>
      <c r="S23" s="167"/>
      <c r="T23" s="168"/>
    </row>
    <row r="24" spans="2:20" x14ac:dyDescent="0.25">
      <c r="B24" s="169"/>
      <c r="C24" s="170"/>
      <c r="D24" s="171"/>
      <c r="F24" s="169"/>
      <c r="G24" s="170"/>
      <c r="H24" s="171"/>
      <c r="J24" s="169"/>
      <c r="K24" s="170"/>
      <c r="L24" s="171"/>
      <c r="N24" s="169"/>
      <c r="O24" s="170"/>
      <c r="P24" s="171"/>
      <c r="R24" s="169"/>
      <c r="S24" s="170"/>
      <c r="T24" s="171"/>
    </row>
    <row r="25" spans="2:20" x14ac:dyDescent="0.25">
      <c r="B25" s="160" t="s">
        <v>27</v>
      </c>
      <c r="C25" s="161"/>
      <c r="D25" s="162"/>
      <c r="F25" s="160" t="s">
        <v>8</v>
      </c>
      <c r="G25" s="161"/>
      <c r="H25" s="162"/>
      <c r="J25" s="160" t="s">
        <v>29</v>
      </c>
      <c r="K25" s="161"/>
      <c r="L25" s="162"/>
      <c r="N25" s="160" t="s">
        <v>30</v>
      </c>
      <c r="O25" s="161"/>
      <c r="P25" s="162"/>
      <c r="R25" s="160" t="s">
        <v>18</v>
      </c>
      <c r="S25" s="161"/>
      <c r="T25" s="162"/>
    </row>
    <row r="28" spans="2:20" x14ac:dyDescent="0.25">
      <c r="B28" s="163"/>
      <c r="C28" s="164"/>
      <c r="D28" s="165"/>
      <c r="F28" s="163"/>
      <c r="G28" s="164"/>
      <c r="H28" s="165"/>
      <c r="J28" s="163"/>
      <c r="K28" s="164"/>
      <c r="L28" s="165"/>
      <c r="N28" s="163"/>
      <c r="O28" s="164"/>
      <c r="P28" s="165"/>
      <c r="R28" s="163"/>
      <c r="S28" s="164"/>
      <c r="T28" s="165"/>
    </row>
    <row r="29" spans="2:20" x14ac:dyDescent="0.25">
      <c r="B29" s="166"/>
      <c r="C29" s="167"/>
      <c r="D29" s="168"/>
      <c r="F29" s="166"/>
      <c r="G29" s="167"/>
      <c r="H29" s="168"/>
      <c r="J29" s="166"/>
      <c r="K29" s="167"/>
      <c r="L29" s="168"/>
      <c r="N29" s="166"/>
      <c r="O29" s="167"/>
      <c r="P29" s="168"/>
      <c r="R29" s="166"/>
      <c r="S29" s="167"/>
      <c r="T29" s="168"/>
    </row>
    <row r="30" spans="2:20" x14ac:dyDescent="0.25">
      <c r="B30" s="166"/>
      <c r="C30" s="167"/>
      <c r="D30" s="168"/>
      <c r="F30" s="166"/>
      <c r="G30" s="167"/>
      <c r="H30" s="168"/>
      <c r="J30" s="166"/>
      <c r="K30" s="167"/>
      <c r="L30" s="168"/>
      <c r="N30" s="166"/>
      <c r="O30" s="167"/>
      <c r="P30" s="168"/>
      <c r="R30" s="166"/>
      <c r="S30" s="167"/>
      <c r="T30" s="168"/>
    </row>
    <row r="31" spans="2:20" x14ac:dyDescent="0.25">
      <c r="B31" s="166"/>
      <c r="C31" s="167"/>
      <c r="D31" s="168"/>
      <c r="F31" s="166"/>
      <c r="G31" s="167"/>
      <c r="H31" s="168"/>
      <c r="J31" s="166"/>
      <c r="K31" s="167"/>
      <c r="L31" s="168"/>
      <c r="N31" s="166"/>
      <c r="O31" s="167"/>
      <c r="P31" s="168"/>
      <c r="R31" s="166"/>
      <c r="S31" s="167"/>
      <c r="T31" s="168"/>
    </row>
    <row r="32" spans="2:20" x14ac:dyDescent="0.25">
      <c r="B32" s="166"/>
      <c r="C32" s="167"/>
      <c r="D32" s="168"/>
      <c r="F32" s="166"/>
      <c r="G32" s="167"/>
      <c r="H32" s="168"/>
      <c r="J32" s="166"/>
      <c r="K32" s="167"/>
      <c r="L32" s="168"/>
      <c r="N32" s="166"/>
      <c r="O32" s="167"/>
      <c r="P32" s="168"/>
      <c r="R32" s="166"/>
      <c r="S32" s="167"/>
      <c r="T32" s="168"/>
    </row>
    <row r="33" spans="2:20" x14ac:dyDescent="0.25">
      <c r="B33" s="166"/>
      <c r="C33" s="167"/>
      <c r="D33" s="168"/>
      <c r="F33" s="166"/>
      <c r="G33" s="167"/>
      <c r="H33" s="168"/>
      <c r="J33" s="166"/>
      <c r="K33" s="167"/>
      <c r="L33" s="168"/>
      <c r="N33" s="166"/>
      <c r="O33" s="167"/>
      <c r="P33" s="168"/>
      <c r="R33" s="166"/>
      <c r="S33" s="167"/>
      <c r="T33" s="168"/>
    </row>
    <row r="34" spans="2:20" x14ac:dyDescent="0.25">
      <c r="B34" s="166"/>
      <c r="C34" s="167"/>
      <c r="D34" s="168"/>
      <c r="F34" s="166"/>
      <c r="G34" s="167"/>
      <c r="H34" s="168"/>
      <c r="J34" s="166"/>
      <c r="K34" s="167"/>
      <c r="L34" s="168"/>
      <c r="N34" s="166"/>
      <c r="O34" s="167"/>
      <c r="P34" s="168"/>
      <c r="R34" s="166"/>
      <c r="S34" s="167"/>
      <c r="T34" s="168"/>
    </row>
    <row r="35" spans="2:20" x14ac:dyDescent="0.25">
      <c r="B35" s="166"/>
      <c r="C35" s="167"/>
      <c r="D35" s="168"/>
      <c r="F35" s="166"/>
      <c r="G35" s="167"/>
      <c r="H35" s="168"/>
      <c r="J35" s="166"/>
      <c r="K35" s="167"/>
      <c r="L35" s="168"/>
      <c r="N35" s="166"/>
      <c r="O35" s="167"/>
      <c r="P35" s="168"/>
      <c r="R35" s="166"/>
      <c r="S35" s="167"/>
      <c r="T35" s="168"/>
    </row>
    <row r="36" spans="2:20" x14ac:dyDescent="0.25">
      <c r="B36" s="169"/>
      <c r="C36" s="170"/>
      <c r="D36" s="171"/>
      <c r="F36" s="169"/>
      <c r="G36" s="170"/>
      <c r="H36" s="171"/>
      <c r="J36" s="169"/>
      <c r="K36" s="170"/>
      <c r="L36" s="171"/>
      <c r="N36" s="169"/>
      <c r="O36" s="170"/>
      <c r="P36" s="171"/>
      <c r="R36" s="169"/>
      <c r="S36" s="170"/>
      <c r="T36" s="171"/>
    </row>
    <row r="37" spans="2:20" x14ac:dyDescent="0.25">
      <c r="B37" s="160" t="s">
        <v>31</v>
      </c>
      <c r="C37" s="161"/>
      <c r="D37" s="162"/>
      <c r="F37" s="160" t="s">
        <v>59</v>
      </c>
      <c r="G37" s="161"/>
      <c r="H37" s="162"/>
      <c r="J37" s="160" t="s">
        <v>10</v>
      </c>
      <c r="K37" s="161"/>
      <c r="L37" s="162"/>
      <c r="N37" s="160" t="s">
        <v>20</v>
      </c>
      <c r="O37" s="161"/>
      <c r="P37" s="162"/>
      <c r="R37" s="160" t="s">
        <v>24</v>
      </c>
      <c r="S37" s="161"/>
      <c r="T37" s="162"/>
    </row>
  </sheetData>
  <mergeCells count="31">
    <mergeCell ref="R4:T12"/>
    <mergeCell ref="R13:T13"/>
    <mergeCell ref="B2:T2"/>
    <mergeCell ref="B16:D24"/>
    <mergeCell ref="R16:T24"/>
    <mergeCell ref="B4:D12"/>
    <mergeCell ref="B13:D13"/>
    <mergeCell ref="F4:H12"/>
    <mergeCell ref="F13:H13"/>
    <mergeCell ref="J4:L12"/>
    <mergeCell ref="J13:L13"/>
    <mergeCell ref="N4:P12"/>
    <mergeCell ref="N13:P13"/>
    <mergeCell ref="B25:D25"/>
    <mergeCell ref="F16:H24"/>
    <mergeCell ref="F25:H25"/>
    <mergeCell ref="B28:D36"/>
    <mergeCell ref="B37:D37"/>
    <mergeCell ref="F28:H36"/>
    <mergeCell ref="F37:H37"/>
    <mergeCell ref="J28:L36"/>
    <mergeCell ref="J37:L37"/>
    <mergeCell ref="J16:L24"/>
    <mergeCell ref="J25:L25"/>
    <mergeCell ref="N16:P24"/>
    <mergeCell ref="N25:P25"/>
    <mergeCell ref="R25:T25"/>
    <mergeCell ref="R28:T36"/>
    <mergeCell ref="R37:T37"/>
    <mergeCell ref="N28:P36"/>
    <mergeCell ref="N37:P37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0" tint="-0.34998626667073579"/>
  </sheetPr>
  <dimension ref="B1:C17"/>
  <sheetViews>
    <sheetView showGridLines="0" workbookViewId="0">
      <selection activeCell="B2" sqref="B2"/>
    </sheetView>
  </sheetViews>
  <sheetFormatPr baseColWidth="10" defaultRowHeight="15" x14ac:dyDescent="0.25"/>
  <cols>
    <col min="1" max="1" width="7.5703125" customWidth="1"/>
    <col min="2" max="2" width="17.5703125" bestFit="1" customWidth="1"/>
    <col min="3" max="3" width="178.140625" bestFit="1" customWidth="1"/>
  </cols>
  <sheetData>
    <row r="1" spans="2:3" ht="15.75" thickBot="1" x14ac:dyDescent="0.3"/>
    <row r="2" spans="2:3" ht="27.75" customHeight="1" thickBot="1" x14ac:dyDescent="0.3">
      <c r="B2" s="7" t="s">
        <v>22</v>
      </c>
      <c r="C2" s="8" t="s">
        <v>23</v>
      </c>
    </row>
    <row r="3" spans="2:3" x14ac:dyDescent="0.25">
      <c r="B3" s="5" t="s">
        <v>3</v>
      </c>
      <c r="C3" s="6" t="s">
        <v>4</v>
      </c>
    </row>
    <row r="4" spans="2:3" x14ac:dyDescent="0.25">
      <c r="B4" s="1" t="s">
        <v>15</v>
      </c>
      <c r="C4" s="2" t="s">
        <v>0</v>
      </c>
    </row>
    <row r="5" spans="2:3" x14ac:dyDescent="0.25">
      <c r="B5" s="1" t="s">
        <v>2</v>
      </c>
      <c r="C5" s="2" t="s">
        <v>1</v>
      </c>
    </row>
    <row r="6" spans="2:3" x14ac:dyDescent="0.25">
      <c r="B6" s="1" t="s">
        <v>6</v>
      </c>
      <c r="C6" s="2" t="s">
        <v>5</v>
      </c>
    </row>
    <row r="7" spans="2:3" x14ac:dyDescent="0.25">
      <c r="B7" s="1" t="s">
        <v>12</v>
      </c>
      <c r="C7" s="2" t="s">
        <v>14</v>
      </c>
    </row>
    <row r="8" spans="2:3" x14ac:dyDescent="0.25">
      <c r="B8" s="1" t="s">
        <v>27</v>
      </c>
      <c r="C8" s="2" t="s">
        <v>26</v>
      </c>
    </row>
    <row r="9" spans="2:3" x14ac:dyDescent="0.25">
      <c r="B9" s="1" t="s">
        <v>8</v>
      </c>
      <c r="C9" s="2" t="s">
        <v>7</v>
      </c>
    </row>
    <row r="10" spans="2:3" x14ac:dyDescent="0.25">
      <c r="B10" s="1" t="s">
        <v>29</v>
      </c>
      <c r="C10" s="2" t="s">
        <v>16</v>
      </c>
    </row>
    <row r="11" spans="2:3" x14ac:dyDescent="0.25">
      <c r="B11" s="1" t="s">
        <v>30</v>
      </c>
      <c r="C11" s="2" t="s">
        <v>11</v>
      </c>
    </row>
    <row r="12" spans="2:3" x14ac:dyDescent="0.25">
      <c r="B12" s="1" t="s">
        <v>18</v>
      </c>
      <c r="C12" s="2" t="s">
        <v>19</v>
      </c>
    </row>
    <row r="13" spans="2:3" x14ac:dyDescent="0.25">
      <c r="B13" s="1" t="s">
        <v>60</v>
      </c>
      <c r="C13" s="2" t="s">
        <v>17</v>
      </c>
    </row>
    <row r="14" spans="2:3" x14ac:dyDescent="0.25">
      <c r="B14" s="1" t="s">
        <v>59</v>
      </c>
      <c r="C14" s="2" t="s">
        <v>9</v>
      </c>
    </row>
    <row r="15" spans="2:3" x14ac:dyDescent="0.25">
      <c r="B15" s="1" t="s">
        <v>10</v>
      </c>
      <c r="C15" s="2" t="s">
        <v>13</v>
      </c>
    </row>
    <row r="16" spans="2:3" x14ac:dyDescent="0.25">
      <c r="B16" s="1" t="s">
        <v>20</v>
      </c>
      <c r="C16" s="2" t="s">
        <v>21</v>
      </c>
    </row>
    <row r="17" spans="2:3" ht="15.75" thickBot="1" x14ac:dyDescent="0.3">
      <c r="B17" s="3" t="s">
        <v>24</v>
      </c>
      <c r="C17" s="4" t="s">
        <v>25</v>
      </c>
    </row>
  </sheetData>
  <hyperlinks>
    <hyperlink ref="C4" r:id="rId1"/>
    <hyperlink ref="C5" r:id="rId2"/>
    <hyperlink ref="C3" r:id="rId3"/>
    <hyperlink ref="C6" r:id="rId4"/>
    <hyperlink ref="C9" r:id="rId5"/>
    <hyperlink ref="C11" r:id="rId6"/>
    <hyperlink ref="C7" r:id="rId7"/>
    <hyperlink ref="C15" r:id="rId8"/>
    <hyperlink ref="C10" r:id="rId9"/>
    <hyperlink ref="C13" r:id="rId10"/>
    <hyperlink ref="C12" r:id="rId11"/>
    <hyperlink ref="C16" r:id="rId12"/>
    <hyperlink ref="C17" r:id="rId13"/>
    <hyperlink ref="C8" r:id="rId14"/>
  </hyperlinks>
  <pageMargins left="0.7" right="0.7" top="0.75" bottom="0.75" header="0.3" footer="0.3"/>
  <drawing r:id="rId1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0" tint="-0.34998626667073579"/>
  </sheetPr>
  <dimension ref="A1:M24"/>
  <sheetViews>
    <sheetView showGridLines="0" zoomScaleNormal="100" workbookViewId="0">
      <selection activeCell="G18" sqref="G18"/>
    </sheetView>
  </sheetViews>
  <sheetFormatPr baseColWidth="10" defaultRowHeight="12.75" x14ac:dyDescent="0.2"/>
  <cols>
    <col min="1" max="1" width="18.28515625" style="18" customWidth="1"/>
    <col min="2" max="2" width="24.7109375" style="18" bestFit="1" customWidth="1"/>
    <col min="3" max="3" width="34.7109375" style="18" customWidth="1"/>
    <col min="4" max="4" width="16" style="18" customWidth="1"/>
    <col min="5" max="5" width="16.42578125" style="18" customWidth="1"/>
    <col min="6" max="6" width="25.7109375" style="18" bestFit="1" customWidth="1"/>
    <col min="7" max="7" width="15" style="18" customWidth="1"/>
    <col min="8" max="8" width="36" style="18" bestFit="1" customWidth="1"/>
    <col min="9" max="9" width="11.42578125" style="18"/>
    <col min="10" max="10" width="19.5703125" style="18" customWidth="1"/>
    <col min="11" max="11" width="25.42578125" style="18" bestFit="1" customWidth="1"/>
    <col min="12" max="12" width="19.5703125" style="18" customWidth="1"/>
    <col min="13" max="16384" width="11.42578125" style="18"/>
  </cols>
  <sheetData>
    <row r="1" spans="1:13" s="19" customFormat="1" ht="24" customHeight="1" x14ac:dyDescent="0.25">
      <c r="A1" s="76" t="s">
        <v>41</v>
      </c>
      <c r="B1" s="76" t="s">
        <v>58</v>
      </c>
      <c r="C1" s="75" t="s">
        <v>75</v>
      </c>
      <c r="D1" s="76" t="s">
        <v>77</v>
      </c>
      <c r="E1" s="75" t="s">
        <v>84</v>
      </c>
      <c r="F1" s="75" t="s">
        <v>85</v>
      </c>
      <c r="G1" s="75" t="s">
        <v>115</v>
      </c>
      <c r="H1" s="75" t="s">
        <v>132</v>
      </c>
      <c r="I1" s="75" t="s">
        <v>133</v>
      </c>
      <c r="J1" s="75" t="s">
        <v>151</v>
      </c>
      <c r="K1" s="75" t="s">
        <v>38</v>
      </c>
      <c r="L1" s="75" t="s">
        <v>151</v>
      </c>
      <c r="M1" s="75" t="s">
        <v>196</v>
      </c>
    </row>
    <row r="2" spans="1:13" x14ac:dyDescent="0.2">
      <c r="A2" s="24" t="s">
        <v>39</v>
      </c>
      <c r="B2" s="24" t="str">
        <f>CONCATENATE("Icono.",'Fuentes imágenes'!B3)</f>
        <v>Icono.Inyectora</v>
      </c>
      <c r="C2" s="24" t="s">
        <v>80</v>
      </c>
      <c r="D2" s="31" t="s">
        <v>70</v>
      </c>
      <c r="E2" s="24" t="s">
        <v>80</v>
      </c>
      <c r="F2" s="39" t="s">
        <v>92</v>
      </c>
      <c r="G2" s="67">
        <v>0</v>
      </c>
      <c r="H2" s="67" t="s">
        <v>134</v>
      </c>
      <c r="I2" s="77">
        <f>AVERAGE(0.5,0.15)</f>
        <v>0.32500000000000001</v>
      </c>
      <c r="J2" s="81">
        <f>IF(K2="","",ROW(J2)-1)</f>
        <v>1</v>
      </c>
      <c r="K2" s="77" t="str">
        <f>Servidores!C3</f>
        <v>Estación torneado</v>
      </c>
      <c r="L2" s="81">
        <f>IF(K2="","",ROW(J2)-1)</f>
        <v>1</v>
      </c>
      <c r="M2" s="77" t="s">
        <v>197</v>
      </c>
    </row>
    <row r="3" spans="1:13" x14ac:dyDescent="0.2">
      <c r="A3" s="24" t="s">
        <v>40</v>
      </c>
      <c r="B3" s="24" t="str">
        <f>CONCATENATE("Icono.",'Fuentes imágenes'!B4)</f>
        <v>Icono.Torno</v>
      </c>
      <c r="C3" s="24" t="s">
        <v>74</v>
      </c>
      <c r="E3" s="24" t="s">
        <v>86</v>
      </c>
      <c r="F3" s="36" t="s">
        <v>91</v>
      </c>
      <c r="G3" s="67">
        <v>1</v>
      </c>
      <c r="H3" s="67" t="s">
        <v>135</v>
      </c>
      <c r="I3" s="77">
        <f>AVERAGE(0.1,0.25)</f>
        <v>0.17499999999999999</v>
      </c>
      <c r="J3" s="81">
        <f t="shared" ref="J3:J14" si="0">IF(K3="","",ROW(J3)-1)</f>
        <v>2</v>
      </c>
      <c r="K3" s="77" t="str">
        <f>Servidores!C4</f>
        <v>Estación pulido</v>
      </c>
      <c r="L3" s="81">
        <f t="shared" ref="L3:L21" si="1">IF(K3="","",ROW(J3)-1)</f>
        <v>2</v>
      </c>
    </row>
    <row r="4" spans="1:13" x14ac:dyDescent="0.2">
      <c r="A4" s="173"/>
      <c r="B4" s="24" t="str">
        <f>CONCATENATE("Icono.",'Fuentes imágenes'!B5)</f>
        <v>Icono.Fresadora</v>
      </c>
      <c r="C4" s="24" t="s">
        <v>70</v>
      </c>
      <c r="E4" s="24" t="s">
        <v>87</v>
      </c>
      <c r="F4" s="37" t="s">
        <v>93</v>
      </c>
      <c r="G4" s="67">
        <v>2</v>
      </c>
      <c r="H4" s="67" t="s">
        <v>136</v>
      </c>
      <c r="I4" s="77">
        <f>AVERAGE(0.05,0.25)</f>
        <v>0.15</v>
      </c>
      <c r="J4" s="81">
        <f t="shared" si="0"/>
        <v>3</v>
      </c>
      <c r="K4" s="77" t="str">
        <f>Servidores!C5</f>
        <v>Estación fresado</v>
      </c>
      <c r="L4" s="81">
        <f t="shared" si="1"/>
        <v>3</v>
      </c>
    </row>
    <row r="5" spans="1:13" x14ac:dyDescent="0.2">
      <c r="A5" s="174"/>
      <c r="B5" s="24" t="str">
        <f>CONCATENATE("Icono.",'Fuentes imágenes'!B6)</f>
        <v>Icono.Taladro</v>
      </c>
      <c r="C5" s="24" t="s">
        <v>71</v>
      </c>
      <c r="E5" s="24" t="s">
        <v>88</v>
      </c>
      <c r="F5" s="38" t="s">
        <v>94</v>
      </c>
      <c r="G5" s="67">
        <v>3</v>
      </c>
      <c r="H5" s="67" t="s">
        <v>137</v>
      </c>
      <c r="I5" s="77">
        <f>AVERAGE(0.5,1)</f>
        <v>0.75</v>
      </c>
      <c r="J5" s="81">
        <f t="shared" si="0"/>
        <v>4</v>
      </c>
      <c r="K5" s="77" t="str">
        <f>Servidores!C6</f>
        <v>Estación limado</v>
      </c>
      <c r="L5" s="81">
        <f t="shared" si="1"/>
        <v>4</v>
      </c>
    </row>
    <row r="6" spans="1:13" x14ac:dyDescent="0.2">
      <c r="A6" s="174"/>
      <c r="B6" s="24" t="str">
        <f>CONCATENATE("Icono.",'Fuentes imágenes'!B7)</f>
        <v>Icono.Soldadura</v>
      </c>
      <c r="C6" s="24" t="s">
        <v>76</v>
      </c>
      <c r="E6" s="24" t="s">
        <v>89</v>
      </c>
      <c r="F6" s="35" t="s">
        <v>95</v>
      </c>
      <c r="G6" s="67">
        <v>4</v>
      </c>
      <c r="H6" s="67" t="s">
        <v>138</v>
      </c>
      <c r="I6" s="77">
        <f>AVERAGE(0.75,1)</f>
        <v>0.875</v>
      </c>
      <c r="J6" s="81">
        <f t="shared" si="0"/>
        <v>5</v>
      </c>
      <c r="K6" s="77" t="str">
        <f>Servidores!C7</f>
        <v>Estación empaque</v>
      </c>
      <c r="L6" s="81">
        <f t="shared" si="1"/>
        <v>5</v>
      </c>
    </row>
    <row r="7" spans="1:13" x14ac:dyDescent="0.2">
      <c r="A7" s="174"/>
      <c r="B7" s="24" t="str">
        <f>CONCATENATE("Icono.",'Fuentes imágenes'!B8)</f>
        <v>Icono.Pulidora</v>
      </c>
      <c r="C7" s="24" t="s">
        <v>72</v>
      </c>
      <c r="E7" s="24" t="s">
        <v>90</v>
      </c>
      <c r="F7" s="24" t="s">
        <v>96</v>
      </c>
      <c r="H7" s="67" t="s">
        <v>139</v>
      </c>
      <c r="I7" s="77">
        <f>AVERAGE(0.1,0.25)</f>
        <v>0.17499999999999999</v>
      </c>
      <c r="J7" s="81">
        <f t="shared" si="0"/>
        <v>6</v>
      </c>
      <c r="K7" s="77" t="str">
        <f>Servidores!C8</f>
        <v>Bodega materia prima</v>
      </c>
      <c r="L7" s="81">
        <f t="shared" si="1"/>
        <v>6</v>
      </c>
    </row>
    <row r="8" spans="1:13" x14ac:dyDescent="0.2">
      <c r="A8" s="174"/>
      <c r="B8" s="24" t="str">
        <f>CONCATENATE("Icono.",'Fuentes imágenes'!B9)</f>
        <v>Icono.Horno</v>
      </c>
      <c r="C8" s="24" t="s">
        <v>73</v>
      </c>
      <c r="H8" s="67" t="s">
        <v>140</v>
      </c>
      <c r="I8" s="77">
        <f>AVERAGE(1.5,2)</f>
        <v>1.75</v>
      </c>
      <c r="J8" s="81">
        <f t="shared" si="0"/>
        <v>7</v>
      </c>
      <c r="K8" s="77" t="str">
        <f>Servidores!C9</f>
        <v>Bodega producto terminado</v>
      </c>
      <c r="L8" s="81">
        <f t="shared" si="1"/>
        <v>7</v>
      </c>
    </row>
    <row r="9" spans="1:13" x14ac:dyDescent="0.2">
      <c r="A9" s="174"/>
      <c r="B9" s="24" t="str">
        <f>CONCATENATE("Icono.",'Fuentes imágenes'!B10)</f>
        <v>Icono.Oficina.Escritorio</v>
      </c>
      <c r="C9" s="24" t="s">
        <v>145</v>
      </c>
      <c r="H9" s="67" t="s">
        <v>141</v>
      </c>
      <c r="I9" s="77">
        <f>AVERAGE(2,3)</f>
        <v>2.5</v>
      </c>
      <c r="J9" s="81">
        <f t="shared" si="0"/>
        <v>8</v>
      </c>
      <c r="K9" s="77" t="str">
        <f>Servidores!C10</f>
        <v>Estación inspección</v>
      </c>
      <c r="L9" s="81">
        <f t="shared" si="1"/>
        <v>8</v>
      </c>
    </row>
    <row r="10" spans="1:13" x14ac:dyDescent="0.2">
      <c r="B10" s="24" t="str">
        <f>CONCATENATE("Icono.",'Fuentes imágenes'!B11)</f>
        <v>Icono.Empaque</v>
      </c>
      <c r="C10" s="24" t="s">
        <v>98</v>
      </c>
      <c r="H10" s="67" t="s">
        <v>142</v>
      </c>
      <c r="I10" s="77">
        <f>AVERAGE(I2:I9)</f>
        <v>0.83749999999999991</v>
      </c>
      <c r="J10" s="81">
        <f t="shared" si="0"/>
        <v>9</v>
      </c>
      <c r="K10" s="77" t="str">
        <f>Servidores!C11</f>
        <v>Estación reproceso</v>
      </c>
      <c r="L10" s="81">
        <f t="shared" si="1"/>
        <v>9</v>
      </c>
    </row>
    <row r="11" spans="1:13" x14ac:dyDescent="0.2">
      <c r="B11" s="24" t="str">
        <f>CONCATENATE("Icono.",'Fuentes imágenes'!B12)</f>
        <v>Icono.Almacenaje.PT</v>
      </c>
      <c r="C11" s="24" t="s">
        <v>111</v>
      </c>
      <c r="H11" s="175"/>
      <c r="I11" s="176"/>
      <c r="J11" s="81" t="str">
        <f t="shared" si="0"/>
        <v/>
      </c>
      <c r="K11" s="77" t="str">
        <f>Servidores!C12</f>
        <v/>
      </c>
      <c r="L11" s="81" t="str">
        <f t="shared" si="1"/>
        <v/>
      </c>
    </row>
    <row r="12" spans="1:13" x14ac:dyDescent="0.2">
      <c r="B12" s="24" t="str">
        <f>CONCATENATE("Icono.",'Fuentes imágenes'!B13)</f>
        <v>Icono.Oficina.Salaespera</v>
      </c>
      <c r="C12" s="24" t="s">
        <v>116</v>
      </c>
      <c r="H12" s="177"/>
      <c r="I12" s="178"/>
      <c r="J12" s="81" t="str">
        <f t="shared" si="0"/>
        <v/>
      </c>
      <c r="K12" s="77" t="str">
        <f>Servidores!C13</f>
        <v/>
      </c>
      <c r="L12" s="81" t="str">
        <f t="shared" si="1"/>
        <v/>
      </c>
    </row>
    <row r="13" spans="1:13" x14ac:dyDescent="0.2">
      <c r="B13" s="24" t="str">
        <f>CONCATENATE("Icono.",'Fuentes imágenes'!B14)</f>
        <v>Icono.Oficina.Impresora</v>
      </c>
      <c r="C13" s="24" t="s">
        <v>120</v>
      </c>
      <c r="H13" s="177"/>
      <c r="I13" s="178"/>
      <c r="J13" s="81" t="str">
        <f t="shared" si="0"/>
        <v/>
      </c>
      <c r="K13" s="77" t="str">
        <f>Servidores!C14</f>
        <v/>
      </c>
      <c r="L13" s="81" t="str">
        <f t="shared" si="1"/>
        <v/>
      </c>
    </row>
    <row r="14" spans="1:13" x14ac:dyDescent="0.2">
      <c r="B14" s="24" t="str">
        <f>CONCATENATE("Icono.",'Fuentes imágenes'!B15)</f>
        <v>Icono.Costura</v>
      </c>
      <c r="C14" s="24" t="s">
        <v>122</v>
      </c>
      <c r="H14" s="177"/>
      <c r="I14" s="178"/>
      <c r="J14" s="81" t="str">
        <f t="shared" si="0"/>
        <v/>
      </c>
      <c r="K14" s="77" t="str">
        <f>Servidores!C15</f>
        <v/>
      </c>
      <c r="L14" s="81" t="str">
        <f t="shared" si="1"/>
        <v/>
      </c>
    </row>
    <row r="15" spans="1:13" x14ac:dyDescent="0.2">
      <c r="B15" s="24" t="str">
        <f>CONCATENATE("Icono.",'Fuentes imágenes'!B16)</f>
        <v>Icono.EstacionGenerica</v>
      </c>
      <c r="C15" s="24" t="s">
        <v>123</v>
      </c>
      <c r="H15" s="177"/>
      <c r="I15" s="178"/>
      <c r="J15" s="81" t="str">
        <f t="shared" ref="J15:J21" si="2">IF(K15="","",ROW(J15)-1)</f>
        <v/>
      </c>
      <c r="K15" s="77" t="str">
        <f>Servidores!C16</f>
        <v/>
      </c>
      <c r="L15" s="81" t="str">
        <f t="shared" si="1"/>
        <v/>
      </c>
    </row>
    <row r="16" spans="1:13" x14ac:dyDescent="0.2">
      <c r="B16" s="24" t="str">
        <f>CONCATENATE("Icono.",'Fuentes imágenes'!B17)</f>
        <v>Icono.Inventario.MP</v>
      </c>
      <c r="C16" s="24" t="s">
        <v>150</v>
      </c>
      <c r="H16" s="177"/>
      <c r="I16" s="178"/>
      <c r="J16" s="81" t="str">
        <f t="shared" si="2"/>
        <v/>
      </c>
      <c r="K16" s="77" t="str">
        <f>Servidores!C17</f>
        <v/>
      </c>
      <c r="L16" s="81" t="str">
        <f t="shared" si="1"/>
        <v/>
      </c>
    </row>
    <row r="17" spans="3:12" x14ac:dyDescent="0.2">
      <c r="C17" s="24" t="s">
        <v>110</v>
      </c>
      <c r="H17" s="177"/>
      <c r="I17" s="178"/>
      <c r="J17" s="81" t="str">
        <f t="shared" si="2"/>
        <v/>
      </c>
      <c r="K17" s="77" t="str">
        <f>Servidores!C18</f>
        <v/>
      </c>
      <c r="L17" s="81" t="str">
        <f t="shared" si="1"/>
        <v/>
      </c>
    </row>
    <row r="18" spans="3:12" x14ac:dyDescent="0.2">
      <c r="C18" s="24" t="s">
        <v>190</v>
      </c>
      <c r="H18" s="177"/>
      <c r="I18" s="178"/>
      <c r="J18" s="81" t="str">
        <f t="shared" si="2"/>
        <v/>
      </c>
      <c r="K18" s="77" t="str">
        <f>Servidores!C19</f>
        <v/>
      </c>
      <c r="L18" s="81" t="str">
        <f t="shared" si="1"/>
        <v/>
      </c>
    </row>
    <row r="19" spans="3:12" x14ac:dyDescent="0.2">
      <c r="C19" s="24" t="s">
        <v>198</v>
      </c>
      <c r="H19" s="177"/>
      <c r="I19" s="178"/>
      <c r="J19" s="81" t="str">
        <f t="shared" si="2"/>
        <v/>
      </c>
      <c r="K19" s="77" t="str">
        <f>Servidores!C20</f>
        <v/>
      </c>
      <c r="L19" s="81" t="str">
        <f t="shared" si="1"/>
        <v/>
      </c>
    </row>
    <row r="20" spans="3:12" x14ac:dyDescent="0.2">
      <c r="C20" s="24" t="s">
        <v>218</v>
      </c>
      <c r="H20" s="177"/>
      <c r="I20" s="178"/>
      <c r="J20" s="81" t="str">
        <f t="shared" si="2"/>
        <v/>
      </c>
      <c r="K20" s="77" t="str">
        <f>Servidores!C21</f>
        <v/>
      </c>
      <c r="L20" s="81" t="str">
        <f t="shared" si="1"/>
        <v/>
      </c>
    </row>
    <row r="21" spans="3:12" x14ac:dyDescent="0.2">
      <c r="C21" s="24" t="s">
        <v>229</v>
      </c>
      <c r="H21" s="177"/>
      <c r="I21" s="178"/>
      <c r="J21" s="81" t="str">
        <f t="shared" si="2"/>
        <v/>
      </c>
      <c r="K21" s="77" t="str">
        <f>Servidores!C22</f>
        <v/>
      </c>
      <c r="L21" s="81" t="str">
        <f t="shared" si="1"/>
        <v/>
      </c>
    </row>
    <row r="22" spans="3:12" x14ac:dyDescent="0.2">
      <c r="C22" s="24" t="s">
        <v>235</v>
      </c>
      <c r="H22" s="177"/>
      <c r="I22" s="178"/>
    </row>
    <row r="23" spans="3:12" x14ac:dyDescent="0.2">
      <c r="C23" s="24" t="s">
        <v>249</v>
      </c>
      <c r="H23" s="179"/>
      <c r="I23" s="180"/>
    </row>
    <row r="24" spans="3:12" x14ac:dyDescent="0.2">
      <c r="C24" s="24" t="s">
        <v>250</v>
      </c>
    </row>
  </sheetData>
  <mergeCells count="2">
    <mergeCell ref="A4:A9"/>
    <mergeCell ref="H11:I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18</vt:i4>
      </vt:variant>
    </vt:vector>
  </HeadingPairs>
  <TitlesOfParts>
    <vt:vector size="41" baseType="lpstr">
      <vt:lpstr>A</vt:lpstr>
      <vt:lpstr>Navegador</vt:lpstr>
      <vt:lpstr>Estaciones</vt:lpstr>
      <vt:lpstr>Servidores</vt:lpstr>
      <vt:lpstr>Parámetros Servidores</vt:lpstr>
      <vt:lpstr>Matriz de proximidad</vt:lpstr>
      <vt:lpstr>Flujo de producto</vt:lpstr>
      <vt:lpstr>Tasa de proceso &amp; eficiencia</vt:lpstr>
      <vt:lpstr>Dimensiones Layout</vt:lpstr>
      <vt:lpstr>Throughput Total</vt:lpstr>
      <vt:lpstr>% ocupación &amp; balance de línea</vt:lpstr>
      <vt:lpstr>Sup. gravitación &amp; evolución</vt:lpstr>
      <vt:lpstr>Matriz de tráfico</vt:lpstr>
      <vt:lpstr>Matriz de distancias</vt:lpstr>
      <vt:lpstr>Configuración AG</vt:lpstr>
      <vt:lpstr>Layout solución (individuo AG)</vt:lpstr>
      <vt:lpstr>Población</vt:lpstr>
      <vt:lpstr>Histórico resultados</vt:lpstr>
      <vt:lpstr>Cruce</vt:lpstr>
      <vt:lpstr>Población (New)</vt:lpstr>
      <vt:lpstr>Templates</vt:lpstr>
      <vt:lpstr>Fuentes imágenes</vt:lpstr>
      <vt:lpstr>Listados</vt:lpstr>
      <vt:lpstr>Accesibilidad</vt:lpstr>
      <vt:lpstr>Activacion</vt:lpstr>
      <vt:lpstr>AlgoritmosCruce</vt:lpstr>
      <vt:lpstr>AnchoBahias</vt:lpstr>
      <vt:lpstr>Iconos</vt:lpstr>
      <vt:lpstr>'Flujo de producto'!RelacionProximidad</vt:lpstr>
      <vt:lpstr>'Matriz de distancias'!RelacionProximidad</vt:lpstr>
      <vt:lpstr>'Matriz de tráfico'!RelacionProximidad</vt:lpstr>
      <vt:lpstr>RelacionProximidad</vt:lpstr>
      <vt:lpstr>TablaDatosEstaciones</vt:lpstr>
      <vt:lpstr>TablaEstaciones</vt:lpstr>
      <vt:lpstr>TablaEstacionesB</vt:lpstr>
      <vt:lpstr>Cruce!TablaIconos</vt:lpstr>
      <vt:lpstr>'Histórico resultados'!TablaIconos</vt:lpstr>
      <vt:lpstr>Población!TablaIconos</vt:lpstr>
      <vt:lpstr>'Población (New)'!TablaIconos</vt:lpstr>
      <vt:lpstr>TablaIconos</vt:lpstr>
      <vt:lpstr>TipoIndustria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Parra</dc:creator>
  <cp:lastModifiedBy>Oscar Parra</cp:lastModifiedBy>
  <cp:lastPrinted>2014-07-28T07:00:11Z</cp:lastPrinted>
  <dcterms:created xsi:type="dcterms:W3CDTF">2014-06-02T02:51:55Z</dcterms:created>
  <dcterms:modified xsi:type="dcterms:W3CDTF">2014-07-28T12:14:07Z</dcterms:modified>
</cp:coreProperties>
</file>